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chemours-my.sharepoint.com/personal/neil_a_roberts_chemours_com/Documents/My Stuff/Opteon™/Standards/EN378/"/>
    </mc:Choice>
  </mc:AlternateContent>
  <workbookProtection lockStructure="1"/>
  <bookViews>
    <workbookView xWindow="0" yWindow="0" windowWidth="20460" windowHeight="7080"/>
  </bookViews>
  <sheets>
    <sheet name="Non Human Comfort- Above Ground" sheetId="1" r:id="rId1"/>
    <sheet name="Fluids" sheetId="2" state="hidden" r:id="rId2"/>
    <sheet name="Calculations" sheetId="4" state="hidden" r:id="rId3"/>
  </sheets>
  <definedNames>
    <definedName name="_20__LFL_x_RV">Calculations!$F$9</definedName>
    <definedName name="aIII">Calculations!$AE$9</definedName>
    <definedName name="aIV">Calculations!$AH$9</definedName>
    <definedName name="aIVNS">Calculations!$AH$10</definedName>
    <definedName name="bIII">Calculations!$AF$9</definedName>
    <definedName name="bIV">Calculations!$AI$9</definedName>
    <definedName name="bIVNS">Calculations!$AI$10</definedName>
    <definedName name="cIII">Calculations!$AG$9</definedName>
    <definedName name="cIV">Calculations!$AJ$9</definedName>
    <definedName name="cIVNS">Calculations!$AJ$10</definedName>
    <definedName name="LFL">Calculations!$B$9</definedName>
    <definedName name="LOcIC1">Calculations!$AA$9</definedName>
    <definedName name="LOcIC1NS">Calculations!$AA$10</definedName>
    <definedName name="LOcIIC1">Calculations!$AD$9</definedName>
    <definedName name="LOcIIC1NS">Calculations!$AD$10</definedName>
    <definedName name="LOcIQLAV">Calculations!$AC$9</definedName>
    <definedName name="LOcIQLAVNS">Calculations!$AC$10</definedName>
    <definedName name="LOcIQLMV">Calculations!$AB$9</definedName>
    <definedName name="LOcIQLMVNS">Calculations!$AB$10</definedName>
    <definedName name="m1_">Calculations!$C$9</definedName>
    <definedName name="m2a">Calculations!$D$9</definedName>
    <definedName name="m3b">Calculations!$E$9</definedName>
    <definedName name="OAaIC1">Calculations!$I$9</definedName>
    <definedName name="OAaIC1NS">Calculations!$I$10</definedName>
    <definedName name="OAaIIC1">Calculations!$L$9</definedName>
    <definedName name="OAaIIC1NS">Calculations!$L$10</definedName>
    <definedName name="OAaIIQLAV">Calculations!$N$9</definedName>
    <definedName name="OAaIIQLAVNS">Calculations!$N$10</definedName>
    <definedName name="OAaIIQLMV">Calculations!$M$9</definedName>
    <definedName name="OAaIIQLMVNS">Calculations!$M$10</definedName>
    <definedName name="OAaIQLAV">Calculations!$K$9</definedName>
    <definedName name="OAaIQLAVNS">Calculations!$K$10</definedName>
    <definedName name="OAaIQLMV">Calculations!$J$9</definedName>
    <definedName name="OAaIQLMVNS">Calculations!$J$10</definedName>
    <definedName name="OAbIC1">Calculations!$O$9</definedName>
    <definedName name="OAbIC1NS">Calculations!$O$10</definedName>
    <definedName name="OAbIIC1">Calculations!$R$9</definedName>
    <definedName name="OAbIIC1NS">Calculations!$R$10</definedName>
    <definedName name="OAbIIQLAV">Calculations!$T$9</definedName>
    <definedName name="OAbIIQLAVNS">Calculations!$T$10</definedName>
    <definedName name="OAbIIQLMV">Calculations!$S$9</definedName>
    <definedName name="OAbIIQLMVNS">Calculations!$S$10</definedName>
    <definedName name="OAbIQLAV">Calculations!$Q$9</definedName>
    <definedName name="OAbIQLAVNS">Calculations!$Q$10</definedName>
    <definedName name="OAbIQLMV">Calculations!$P$9</definedName>
    <definedName name="OAbIQLMVNS">Calculations!$P$10</definedName>
    <definedName name="OAcIC1">Calculations!$U$9</definedName>
    <definedName name="OAcIC1NS">Calculations!$U$10</definedName>
    <definedName name="OAcIIC1">Calculations!$X$9</definedName>
    <definedName name="OAcIIC1NS">Calculations!$X$10</definedName>
    <definedName name="OAcIIQLAV">Calculations!$Z$9</definedName>
    <definedName name="OAcIIQLAVNS">Calculations!$Z$10</definedName>
    <definedName name="OAcIIQLMV">Calculations!$Y$9</definedName>
    <definedName name="OAcIIQLMVNS">Calculations!$Y$10</definedName>
    <definedName name="OAcIQLAV">Calculations!$W$9</definedName>
    <definedName name="OAcIQLAVNS">Calculations!$W$10</definedName>
    <definedName name="OAcIQLMV">Calculations!$V$9</definedName>
    <definedName name="OAcIQLMVNS">Calculations!$V$10</definedName>
    <definedName name="_xlnm.Print_Area" localSheetId="0">'Non Human Comfort- Above Ground'!$A$1:$P$35</definedName>
    <definedName name="QL_Calc_Room_Size">Calculations!$C$5</definedName>
    <definedName name="QLAV">Calculations!$H$9</definedName>
    <definedName name="QLMV">Calculations!$G$9</definedName>
    <definedName name="Room_Volume">Calculations!$A$5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0" i="4" l="1"/>
  <c r="AI10" i="4"/>
  <c r="AH10" i="4"/>
  <c r="E16" i="1" l="1"/>
  <c r="E14" i="1"/>
  <c r="B5" i="4"/>
  <c r="C36" i="2"/>
  <c r="A36" i="2"/>
  <c r="C7" i="2"/>
  <c r="C8" i="2"/>
  <c r="C9" i="2"/>
  <c r="C10" i="2"/>
  <c r="O10" i="2" s="1"/>
  <c r="C11" i="2"/>
  <c r="C6" i="2"/>
  <c r="N7" i="2"/>
  <c r="G7" i="2"/>
  <c r="N8" i="2"/>
  <c r="G8" i="2" s="1"/>
  <c r="N9" i="2"/>
  <c r="G9" i="2"/>
  <c r="N10" i="2"/>
  <c r="G10" i="2" s="1"/>
  <c r="N11" i="2"/>
  <c r="G11" i="2"/>
  <c r="N6" i="2"/>
  <c r="G6" i="2" s="1"/>
  <c r="F7" i="2"/>
  <c r="F8" i="2"/>
  <c r="F9" i="2"/>
  <c r="F10" i="2"/>
  <c r="F6" i="2"/>
  <c r="A9" i="4"/>
  <c r="D7" i="2"/>
  <c r="P7" i="2" s="1"/>
  <c r="E7" i="2"/>
  <c r="Q7" i="2"/>
  <c r="D8" i="2"/>
  <c r="P8" i="2" s="1"/>
  <c r="E8" i="2"/>
  <c r="Q8" i="2"/>
  <c r="D9" i="2"/>
  <c r="P9" i="2" s="1"/>
  <c r="E9" i="2"/>
  <c r="Q9" i="2"/>
  <c r="D10" i="2"/>
  <c r="P10" i="2" s="1"/>
  <c r="E10" i="2"/>
  <c r="Q10" i="2"/>
  <c r="D11" i="2"/>
  <c r="P11" i="2" s="1"/>
  <c r="E11" i="2"/>
  <c r="Q11" i="2"/>
  <c r="E6" i="2"/>
  <c r="Q6" i="2" s="1"/>
  <c r="D6" i="2"/>
  <c r="P6" i="2"/>
  <c r="O11" i="2"/>
  <c r="M7" i="2"/>
  <c r="M8" i="2"/>
  <c r="M9" i="2"/>
  <c r="M10" i="2"/>
  <c r="M11" i="2"/>
  <c r="M6" i="2"/>
  <c r="O7" i="2"/>
  <c r="O8" i="2"/>
  <c r="O9" i="2"/>
  <c r="O6" i="2"/>
  <c r="G19" i="1"/>
  <c r="A5" i="4" s="1"/>
  <c r="K10" i="1"/>
  <c r="E6" i="1"/>
  <c r="E10" i="1"/>
  <c r="B13" i="2"/>
  <c r="E24" i="1" l="1"/>
  <c r="E29" i="1"/>
  <c r="E27" i="1"/>
  <c r="H9" i="4"/>
  <c r="C5" i="4"/>
  <c r="B36" i="2"/>
  <c r="D36" i="2" s="1"/>
  <c r="C9" i="4"/>
  <c r="B9" i="4"/>
  <c r="F9" i="4" s="1"/>
  <c r="E9" i="4"/>
  <c r="AJ9" i="4" s="1"/>
  <c r="D9" i="4"/>
  <c r="G9" i="4"/>
  <c r="L10" i="4" l="1"/>
  <c r="AA10" i="4"/>
  <c r="R10" i="4"/>
  <c r="I10" i="4"/>
  <c r="U10" i="4"/>
  <c r="O10" i="4"/>
  <c r="X10" i="4"/>
  <c r="AC10" i="4"/>
  <c r="Q10" i="4"/>
  <c r="K10" i="4"/>
  <c r="V10" i="4"/>
  <c r="AB10" i="4"/>
  <c r="P10" i="4"/>
  <c r="W10" i="4"/>
  <c r="J10" i="4"/>
  <c r="T10" i="4"/>
  <c r="Y10" i="4"/>
  <c r="Z10" i="4"/>
  <c r="S10" i="4"/>
  <c r="N10" i="4"/>
  <c r="M10" i="4"/>
  <c r="C24" i="1"/>
  <c r="C29" i="1"/>
  <c r="C27" i="1"/>
  <c r="N9" i="4"/>
  <c r="Y9" i="4"/>
  <c r="M9" i="4"/>
  <c r="T9" i="4"/>
  <c r="S9" i="4"/>
  <c r="Z9" i="4"/>
  <c r="U9" i="4"/>
  <c r="I9" i="4"/>
  <c r="X9" i="4"/>
  <c r="L9" i="4"/>
  <c r="AA9" i="4"/>
  <c r="O9" i="4"/>
  <c r="R9" i="4"/>
  <c r="AI9" i="4"/>
  <c r="AH9" i="4"/>
  <c r="C25" i="1"/>
  <c r="AC9" i="4" l="1"/>
  <c r="AB9" i="4"/>
  <c r="W9" i="4"/>
  <c r="V9" i="4"/>
  <c r="Q9" i="4"/>
  <c r="P9" i="4"/>
  <c r="K9" i="4"/>
  <c r="J9" i="4"/>
  <c r="F25" i="1"/>
  <c r="E25" i="1"/>
  <c r="E30" i="1"/>
  <c r="E28" i="1"/>
  <c r="C28" i="1"/>
  <c r="C30" i="1"/>
</calcChain>
</file>

<file path=xl/comments1.xml><?xml version="1.0" encoding="utf-8"?>
<comments xmlns="http://schemas.openxmlformats.org/spreadsheetml/2006/main">
  <authors>
    <author>ROBERTS, NEIL A</author>
  </authors>
  <commentList>
    <comment ref="E21" authorId="0" shapeId="0">
      <text>
        <r>
          <rPr>
            <b/>
            <sz val="9"/>
            <color indexed="81"/>
            <rFont val="Tahoma"/>
            <family val="2"/>
          </rPr>
          <t>The refrigerant charge mass predicted for this application.</t>
        </r>
        <r>
          <rPr>
            <sz val="9"/>
            <color indexed="81"/>
            <rFont val="Tahoma"/>
            <family val="2"/>
          </rPr>
          <t xml:space="preserve">
</t>
        </r>
      </text>
    </comment>
  </commentList>
</comments>
</file>

<file path=xl/sharedStrings.xml><?xml version="1.0" encoding="utf-8"?>
<sst xmlns="http://schemas.openxmlformats.org/spreadsheetml/2006/main" count="122" uniqueCount="103">
  <si>
    <t>Fluid</t>
  </si>
  <si>
    <t>Opteon™ XL10</t>
  </si>
  <si>
    <t>Opteon™ XL20</t>
  </si>
  <si>
    <t>Opteon™ XL40</t>
  </si>
  <si>
    <t>Opteon™ XL41</t>
  </si>
  <si>
    <t>Opteon™ XL55</t>
  </si>
  <si>
    <t>R290</t>
  </si>
  <si>
    <t>R152a</t>
  </si>
  <si>
    <r>
      <t>m</t>
    </r>
    <r>
      <rPr>
        <vertAlign val="subscript"/>
        <sz val="11"/>
        <color theme="1"/>
        <rFont val="Calibri"/>
        <family val="2"/>
        <scheme val="minor"/>
      </rPr>
      <t>2</t>
    </r>
    <r>
      <rPr>
        <vertAlign val="superscript"/>
        <sz val="11"/>
        <color theme="1"/>
        <rFont val="Calibri"/>
        <family val="2"/>
        <scheme val="minor"/>
      </rPr>
      <t>a</t>
    </r>
  </si>
  <si>
    <r>
      <t>Room size / m</t>
    </r>
    <r>
      <rPr>
        <vertAlign val="superscript"/>
        <sz val="11"/>
        <color theme="1"/>
        <rFont val="Calibri"/>
        <family val="2"/>
        <scheme val="minor"/>
      </rPr>
      <t>3</t>
    </r>
  </si>
  <si>
    <t>LFL</t>
  </si>
  <si>
    <r>
      <t>m</t>
    </r>
    <r>
      <rPr>
        <vertAlign val="subscript"/>
        <sz val="11"/>
        <color theme="1"/>
        <rFont val="Calibri"/>
        <family val="2"/>
        <scheme val="minor"/>
      </rPr>
      <t>3</t>
    </r>
    <r>
      <rPr>
        <vertAlign val="superscript"/>
        <sz val="11"/>
        <color theme="1"/>
        <rFont val="Calibri"/>
        <family val="2"/>
        <scheme val="minor"/>
      </rPr>
      <t>b</t>
    </r>
  </si>
  <si>
    <t>Hospitals, courts or prisons, theatres, supermarkets, schools, lecture halls, public transport termini, hotels, dwellings, restaurants</t>
  </si>
  <si>
    <t>a</t>
  </si>
  <si>
    <t>b</t>
  </si>
  <si>
    <t>c</t>
  </si>
  <si>
    <t>Rooms, parts of buildings, buildings where only a limited number of people may be assembled, some being necessarily acquainted with the general safety precautions of the establishment</t>
  </si>
  <si>
    <t>Business or professional offices, laboratories, places for general manufacturing and where people work</t>
  </si>
  <si>
    <t>Rooms, parts of buildings, buildings where only authorized persons have access, who are acquainted with general and special safety precautions of the establishment and where manufacturing, processing or storage of material or products take place</t>
  </si>
  <si>
    <t>Manufacturing facilities, e.g. for chemicals, food, beverage, ice, ice-cream, refineries, cold stores, dairies, abattoirs, non-public areas in supermarkets</t>
  </si>
  <si>
    <t>Compressors in machinery room or open air
If all compressors and pressure vessels are either located in a machinery room or in the open air then the requirements for a class II location shall apply unless the system complies with the requirements of class III. Coils and pipework including valves may be located in an occupied space.</t>
  </si>
  <si>
    <t>Class I</t>
  </si>
  <si>
    <t>Class II</t>
  </si>
  <si>
    <t>Class III</t>
  </si>
  <si>
    <t>Machinery room or open air
If all refrigerant-containing parts are located in a machinery room or open air then the requirements for a class III location shall apply. The machinery room shall fulfil the requirements of FprEN 378-3.</t>
  </si>
  <si>
    <t>Ventilated enclosure
If all refrigerant-containing parts are located in a ventilated enclosure then the requirements for a class IV location shall apply. The ventilated enclosure shall fulfil the requirements of FprEN 378-2 and FprEN 378-3.</t>
  </si>
  <si>
    <t>Human Comfort</t>
  </si>
  <si>
    <t>Other Applications</t>
  </si>
  <si>
    <t>Location Classification:</t>
  </si>
  <si>
    <t>Access Category:</t>
  </si>
  <si>
    <r>
      <rPr>
        <b/>
        <sz val="11"/>
        <color theme="1"/>
        <rFont val="Calibri"/>
        <family val="2"/>
        <scheme val="minor"/>
      </rPr>
      <t>Mechanical equipment located within the occupied space</t>
    </r>
    <r>
      <rPr>
        <sz val="11"/>
        <color theme="1"/>
        <rFont val="Calibri"/>
        <family val="2"/>
        <scheme val="minor"/>
      </rPr>
      <t xml:space="preserve">
If the refrigerating system or refrigerant-containing parts are located in the occupied space, then the system is considered to be of class I unless the system complies with the requirements of class II.</t>
    </r>
  </si>
  <si>
    <t>Rooms, parts of buildings, building where
— sleeping facilities are provided, people are restricted in their movement, — an uncontrolled number of people are present, any person has access without being personally acquainted with the necessary safety precautions</t>
  </si>
  <si>
    <t>Examples:</t>
  </si>
  <si>
    <t>Access Sub-Category:</t>
  </si>
  <si>
    <t>Opteon™ XL Refrigerant Charge Calculator</t>
  </si>
  <si>
    <t>Class IV</t>
  </si>
  <si>
    <t>R32</t>
  </si>
  <si>
    <t>Refrigerant:</t>
  </si>
  <si>
    <t>Width:</t>
  </si>
  <si>
    <t>Length:</t>
  </si>
  <si>
    <t>Height:</t>
  </si>
  <si>
    <t>Room Dimensions / m</t>
  </si>
  <si>
    <t>Room Volume:</t>
  </si>
  <si>
    <r>
      <t>m</t>
    </r>
    <r>
      <rPr>
        <vertAlign val="subscript"/>
        <sz val="11"/>
        <color theme="1"/>
        <rFont val="Calibri"/>
        <family val="2"/>
        <scheme val="minor"/>
      </rPr>
      <t>1</t>
    </r>
  </si>
  <si>
    <t>Refrigerant</t>
  </si>
  <si>
    <t>OAaIC1</t>
  </si>
  <si>
    <t>OAaIIC1</t>
  </si>
  <si>
    <t>OAbIC1</t>
  </si>
  <si>
    <t>OAbIIC1</t>
  </si>
  <si>
    <t>OAaIQLMV</t>
  </si>
  <si>
    <t>OAaIQLAV</t>
  </si>
  <si>
    <t>QLMV</t>
  </si>
  <si>
    <t>QLAV</t>
  </si>
  <si>
    <t>20% LFL x RV</t>
  </si>
  <si>
    <t>OAaIIQLMV</t>
  </si>
  <si>
    <t>OAaIIQLAV</t>
  </si>
  <si>
    <t>OAbIQLMV</t>
  </si>
  <si>
    <t>OAbIQLAV</t>
  </si>
  <si>
    <t>OAbIIQLMV</t>
  </si>
  <si>
    <t>OAbIIQLAV</t>
  </si>
  <si>
    <t>OAcIC1</t>
  </si>
  <si>
    <t>OAcIQLMV</t>
  </si>
  <si>
    <t>OAcIQLAV</t>
  </si>
  <si>
    <t>OAcIIC1</t>
  </si>
  <si>
    <t>OAcIIQLMV</t>
  </si>
  <si>
    <t>OAcIIQLAV</t>
  </si>
  <si>
    <t>LOcIC1</t>
  </si>
  <si>
    <t>LOcIQLMV</t>
  </si>
  <si>
    <t>LOcIQLAV</t>
  </si>
  <si>
    <t>LOcIIC1</t>
  </si>
  <si>
    <t>No Charge Restriction</t>
  </si>
  <si>
    <t>bIII</t>
  </si>
  <si>
    <t>cIII</t>
  </si>
  <si>
    <t>aIII</t>
  </si>
  <si>
    <t>aIV</t>
  </si>
  <si>
    <t>bIV</t>
  </si>
  <si>
    <t>cIV</t>
  </si>
  <si>
    <t>Estimated Required Refrigerant Charge / kg:</t>
  </si>
  <si>
    <t>&lt;1 Person per 10m²</t>
  </si>
  <si>
    <t>I</t>
  </si>
  <si>
    <t>II</t>
  </si>
  <si>
    <t>III</t>
  </si>
  <si>
    <t>IV</t>
  </si>
  <si>
    <t>Access Category</t>
  </si>
  <si>
    <t>Location</t>
  </si>
  <si>
    <t>Refrigerant Charge Limits / kg</t>
  </si>
  <si>
    <t>EN 378 Appendix C1:</t>
  </si>
  <si>
    <t>EN 378 Appendix C3 (QLMV):</t>
  </si>
  <si>
    <t>EN 378 Appendix C3 (QLAV):</t>
  </si>
  <si>
    <t>Floor Area</t>
  </si>
  <si>
    <t>QL Calculation Room Size / m³</t>
  </si>
  <si>
    <t>Enter the Location, Access Categories and Refrigerant using the drop down list. Type in the room dimensions and estimated refrigerant charge.</t>
  </si>
  <si>
    <t>Systems where the rated cooling (heating) capacity of the indoor unit is not more than 25 % of the total cooling (heating) capacity of the outdoor unit systems and where pipes serving equipment in the occupied space in question are not oversized relative to the capacity of that equipment, where the heat exchanger in the indoor unit and the control of the system are designed to prevent damage due to ice formation, where the refrigerant-containing parts of the indoor unit are protected against fan breakage or the fan is designed to prevent breakage, systems where only permanent joints are used in the occupied space in question except for site-made joints directly connecting the indoor unit to the piping,where the refrigerant-containing pipes in the occupied space in question are installed in such way that it is protected against accidental damage in accordance with FprEN 378-2:2016, 6.2.3.3.4 and FprEN 378-3:2016, 6.2, alternative provisions to ensure safety are provided in accordance with C.3.2.2 and C.3.2.3, doors of the occupied space are not tight-fitting and the effect of flow down is mitigated in accordance with C.3.2.4.</t>
  </si>
  <si>
    <t>(Always refer to the full EN 378 standard to ensure all the necessary requirements are fulfilled)</t>
  </si>
  <si>
    <t>DISCLAIMER
The information provided herein is believed to be accurate, but is not warranted nor is it intended to be used without independent verification. Because it is provided gratis, the reader assumes sole responsibility for any results obtained in reliance on this information. Statements or suggestions concerning possible use of our products are made without representation or warranty that any such use is free of patent infringement, and are not recommendations to infringe any patent. The user should not assume that all safety measures are indicated, or that other measures may not be required.</t>
  </si>
  <si>
    <t>(R1234yf, GWP¹ = 4)</t>
  </si>
  <si>
    <t>(R454C, GWP¹ = 148)</t>
  </si>
  <si>
    <t>(R454A, GWP¹ = 239)</t>
  </si>
  <si>
    <t>(R454B, GWP¹ = 466)</t>
  </si>
  <si>
    <t>(R452B, GWP¹ = 698)</t>
  </si>
  <si>
    <r>
      <rPr>
        <b/>
        <sz val="11"/>
        <color theme="1"/>
        <rFont val="Calibri"/>
        <family val="2"/>
        <scheme val="minor"/>
      </rPr>
      <t>Note:</t>
    </r>
    <r>
      <rPr>
        <sz val="11"/>
        <color theme="1"/>
        <rFont val="Calibri"/>
        <family val="2"/>
        <scheme val="minor"/>
      </rPr>
      <t xml:space="preserve"> The information provided is intended only as a guide and should not be taken in isolation. All assessments should be made with reference to the full text contained within the current 
EN 378 standard.</t>
    </r>
  </si>
  <si>
    <t>1. GWP values are from Intergovernmental Panel for Climate Change (IPCC) Assessment Report 4 as specified in EU 517/2014 legislation.</t>
  </si>
  <si>
    <t>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</si>
</sst>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0"/>
    <numFmt numFmtId="165" formatCode="General&quot; m&quot;"/>
    <numFmt numFmtId="166" formatCode="General&quot; m³&quot;"/>
    <numFmt numFmtId="167" formatCode="0.000"/>
    <numFmt numFmtId="168" formatCode="General&quot;kg&quot;"/>
    <numFmt numFmtId="169" formatCode="0.000&quot;kg&quot;"/>
    <numFmt numFmtId="170" formatCode="General&quot;m³&quot;"/>
    <numFmt numFmtId="171" formatCode="General&quot;m²&quot;"/>
    <numFmt numFmtId="172" formatCode="0.00&quot;kg&quot;"/>
  </numFmts>
  <fonts count="16" x14ac:knownFonts="1">
    <font>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1"/>
      <color theme="1"/>
      <name val="Calibri"/>
      <family val="2"/>
      <scheme val="minor"/>
    </font>
    <font>
      <b/>
      <sz val="11"/>
      <color rgb="FFFF0000"/>
      <name val="Calibri"/>
      <family val="2"/>
      <scheme val="minor"/>
    </font>
    <font>
      <b/>
      <sz val="11"/>
      <color theme="4" tint="-0.249977111117893"/>
      <name val="Calibri"/>
      <family val="2"/>
      <scheme val="minor"/>
    </font>
    <font>
      <b/>
      <sz val="20"/>
      <color theme="1"/>
      <name val="Calibri"/>
      <family val="2"/>
      <scheme val="minor"/>
    </font>
    <font>
      <sz val="11"/>
      <color theme="4" tint="-0.499984740745262"/>
      <name val="Calibri"/>
      <family val="2"/>
      <scheme val="minor"/>
    </font>
    <font>
      <b/>
      <sz val="11"/>
      <color theme="4" tint="-0.499984740745262"/>
      <name val="Calibri"/>
      <family val="2"/>
      <scheme val="minor"/>
    </font>
    <font>
      <b/>
      <sz val="14"/>
      <color theme="4" tint="-0.499984740745262"/>
      <name val="Calibri"/>
      <family val="2"/>
      <scheme val="minor"/>
    </font>
    <font>
      <sz val="11"/>
      <color theme="1"/>
      <name val="Times New Roman"/>
      <family val="1"/>
    </font>
    <font>
      <sz val="11"/>
      <color theme="4" tint="-0.249977111117893"/>
      <name val="Calibri"/>
      <family val="2"/>
      <scheme val="minor"/>
    </font>
    <font>
      <sz val="9"/>
      <color indexed="81"/>
      <name val="Tahoma"/>
      <family val="2"/>
    </font>
    <font>
      <b/>
      <sz val="9"/>
      <color indexed="81"/>
      <name val="Tahoma"/>
      <family val="2"/>
    </font>
    <font>
      <b/>
      <sz val="8"/>
      <color theme="4" tint="-0.499984740745262"/>
      <name val="Calibri"/>
      <family val="2"/>
      <scheme val="minor"/>
    </font>
    <font>
      <b/>
      <sz val="7.5"/>
      <color theme="4" tint="-0.499984740745262"/>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dash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left" vertical="center"/>
    </xf>
    <xf numFmtId="0" fontId="0" fillId="0" borderId="0" xfId="0" applyBorder="1" applyAlignment="1">
      <alignment horizontal="center"/>
    </xf>
    <xf numFmtId="1" fontId="0" fillId="0" borderId="0" xfId="0" applyNumberFormat="1" applyAlignment="1">
      <alignment horizontal="center"/>
    </xf>
    <xf numFmtId="167" fontId="0" fillId="0" borderId="0" xfId="0" applyNumberFormat="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170" fontId="0" fillId="0" borderId="0" xfId="0" applyNumberFormat="1" applyAlignment="1">
      <alignment horizontal="center"/>
    </xf>
    <xf numFmtId="171" fontId="0" fillId="0" borderId="0" xfId="0" applyNumberFormat="1" applyAlignment="1">
      <alignment horizontal="center"/>
    </xf>
    <xf numFmtId="0" fontId="0" fillId="0" borderId="0" xfId="0" applyAlignment="1">
      <alignment vertical="center"/>
    </xf>
    <xf numFmtId="0" fontId="0" fillId="2" borderId="0" xfId="0" applyFont="1" applyFill="1" applyAlignment="1" applyProtection="1">
      <alignment horizontal="center"/>
      <protection locked="0"/>
    </xf>
    <xf numFmtId="165" fontId="0" fillId="2" borderId="0" xfId="0" applyNumberFormat="1" applyFont="1" applyFill="1" applyAlignment="1" applyProtection="1">
      <alignment horizontal="center"/>
      <protection locked="0"/>
    </xf>
    <xf numFmtId="168" fontId="0" fillId="2" borderId="0" xfId="0" applyNumberFormat="1" applyFont="1" applyFill="1" applyAlignment="1" applyProtection="1">
      <alignment horizontal="center"/>
      <protection locked="0"/>
    </xf>
    <xf numFmtId="0" fontId="6" fillId="3" borderId="0" xfId="0" applyFont="1" applyFill="1" applyProtection="1"/>
    <xf numFmtId="0" fontId="0" fillId="3" borderId="0" xfId="0" applyFont="1" applyFill="1" applyAlignment="1" applyProtection="1">
      <alignment horizontal="center"/>
    </xf>
    <xf numFmtId="0" fontId="0" fillId="3" borderId="0" xfId="0" applyFont="1" applyFill="1" applyProtection="1"/>
    <xf numFmtId="0" fontId="0" fillId="0" borderId="0" xfId="0" applyFont="1" applyProtection="1"/>
    <xf numFmtId="0" fontId="0" fillId="0"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0" fontId="5" fillId="3" borderId="0" xfId="0" applyFont="1" applyFill="1" applyAlignment="1" applyProtection="1">
      <alignment horizontal="right" vertical="center"/>
    </xf>
    <xf numFmtId="0" fontId="0" fillId="3" borderId="0" xfId="0" applyFont="1" applyFill="1" applyAlignment="1" applyProtection="1">
      <alignment vertical="center" wrapText="1"/>
    </xf>
    <xf numFmtId="0" fontId="5" fillId="3" borderId="0" xfId="0" applyFont="1" applyFill="1" applyAlignment="1" applyProtection="1">
      <alignment horizontal="right"/>
    </xf>
    <xf numFmtId="0" fontId="4" fillId="3" borderId="0" xfId="0" applyFont="1" applyFill="1" applyAlignment="1" applyProtection="1">
      <alignment horizontal="left"/>
    </xf>
    <xf numFmtId="0" fontId="0" fillId="3" borderId="0" xfId="0" applyFont="1" applyFill="1" applyBorder="1" applyAlignment="1" applyProtection="1">
      <alignment wrapText="1"/>
    </xf>
    <xf numFmtId="0" fontId="0" fillId="0" borderId="0" xfId="0" applyFont="1" applyBorder="1" applyAlignment="1" applyProtection="1">
      <alignment wrapText="1"/>
    </xf>
    <xf numFmtId="0" fontId="5" fillId="0" borderId="0" xfId="0" applyFont="1" applyProtection="1"/>
    <xf numFmtId="0" fontId="5" fillId="0" borderId="0" xfId="0" applyFont="1" applyAlignment="1" applyProtection="1">
      <alignment horizontal="right"/>
    </xf>
    <xf numFmtId="0" fontId="5" fillId="3" borderId="0" xfId="0" applyFont="1" applyFill="1" applyAlignment="1" applyProtection="1">
      <alignment horizontal="left"/>
    </xf>
    <xf numFmtId="0" fontId="0" fillId="3" borderId="0" xfId="0" applyFont="1" applyFill="1" applyAlignment="1" applyProtection="1">
      <alignment horizontal="right"/>
    </xf>
    <xf numFmtId="166" fontId="0" fillId="0" borderId="0" xfId="0" applyNumberFormat="1" applyFont="1" applyAlignment="1" applyProtection="1">
      <alignment horizontal="center"/>
    </xf>
    <xf numFmtId="0" fontId="0" fillId="0" borderId="0" xfId="0" applyFont="1" applyAlignment="1" applyProtection="1">
      <alignment horizontal="center"/>
    </xf>
    <xf numFmtId="0" fontId="0" fillId="3" borderId="0" xfId="0" applyFont="1" applyFill="1" applyAlignment="1" applyProtection="1">
      <alignment horizontal="center" vertical="center"/>
    </xf>
    <xf numFmtId="0" fontId="0" fillId="3" borderId="0" xfId="0" applyFont="1" applyFill="1" applyAlignment="1" applyProtection="1">
      <alignment horizontal="center" vertical="center" wrapText="1"/>
    </xf>
    <xf numFmtId="0" fontId="0" fillId="3" borderId="0" xfId="0" applyFont="1" applyFill="1" applyAlignment="1" applyProtection="1">
      <alignment vertical="center"/>
    </xf>
    <xf numFmtId="0" fontId="9" fillId="3" borderId="0" xfId="0" applyFont="1" applyFill="1" applyAlignment="1" applyProtection="1">
      <alignment horizontal="left"/>
    </xf>
    <xf numFmtId="2" fontId="0" fillId="3" borderId="0" xfId="0" applyNumberFormat="1" applyFont="1" applyFill="1" applyAlignment="1" applyProtection="1">
      <alignment horizontal="center"/>
    </xf>
    <xf numFmtId="164" fontId="0" fillId="3" borderId="0" xfId="0" applyNumberFormat="1" applyFont="1" applyFill="1" applyProtection="1"/>
    <xf numFmtId="0" fontId="8" fillId="3" borderId="0" xfId="0" applyFont="1" applyFill="1" applyAlignment="1" applyProtection="1">
      <alignment horizontal="right"/>
    </xf>
    <xf numFmtId="0" fontId="8" fillId="3" borderId="0" xfId="0" applyFont="1" applyFill="1" applyAlignment="1" applyProtection="1">
      <alignment horizontal="center"/>
    </xf>
    <xf numFmtId="2" fontId="8" fillId="3" borderId="0" xfId="0" applyNumberFormat="1" applyFont="1" applyFill="1" applyAlignment="1" applyProtection="1">
      <alignment horizontal="left"/>
    </xf>
    <xf numFmtId="0" fontId="7" fillId="3" borderId="0" xfId="0" applyFont="1" applyFill="1" applyAlignment="1" applyProtection="1">
      <alignment horizontal="center"/>
    </xf>
    <xf numFmtId="2" fontId="5" fillId="3" borderId="0" xfId="0" applyNumberFormat="1" applyFont="1" applyFill="1" applyAlignment="1" applyProtection="1">
      <alignment horizontal="center"/>
    </xf>
    <xf numFmtId="164" fontId="0" fillId="0" borderId="0" xfId="0" applyNumberFormat="1" applyFont="1" applyProtection="1"/>
    <xf numFmtId="2" fontId="0" fillId="0" borderId="0" xfId="0" applyNumberFormat="1" applyFont="1" applyAlignment="1" applyProtection="1">
      <alignment horizontal="center"/>
    </xf>
    <xf numFmtId="0" fontId="0" fillId="3" borderId="0" xfId="0" applyFont="1" applyFill="1" applyAlignment="1" applyProtection="1">
      <alignment horizontal="center"/>
    </xf>
    <xf numFmtId="0" fontId="0" fillId="3" borderId="0" xfId="0" applyFont="1" applyFill="1" applyAlignment="1" applyProtection="1">
      <alignment horizontal="left"/>
    </xf>
    <xf numFmtId="0" fontId="11" fillId="3" borderId="0" xfId="0" applyFont="1" applyFill="1" applyAlignment="1" applyProtection="1">
      <alignment vertical="center" wrapText="1"/>
    </xf>
    <xf numFmtId="172" fontId="5" fillId="0" borderId="0" xfId="0" applyNumberFormat="1" applyFont="1" applyAlignment="1" applyProtection="1">
      <alignment horizontal="center"/>
    </xf>
    <xf numFmtId="172" fontId="5" fillId="3" borderId="0" xfId="0" applyNumberFormat="1" applyFont="1" applyFill="1" applyAlignment="1" applyProtection="1">
      <alignment horizontal="center"/>
    </xf>
    <xf numFmtId="169" fontId="5" fillId="3" borderId="0" xfId="0" applyNumberFormat="1" applyFont="1" applyFill="1" applyAlignment="1" applyProtection="1">
      <alignment horizontal="center"/>
    </xf>
    <xf numFmtId="0" fontId="14" fillId="3" borderId="0" xfId="0" applyFont="1" applyFill="1" applyAlignment="1" applyProtection="1">
      <alignment horizontal="center" vertical="center" wrapText="1"/>
    </xf>
    <xf numFmtId="0" fontId="0" fillId="3" borderId="11" xfId="0" applyFont="1" applyFill="1" applyBorder="1" applyProtection="1"/>
    <xf numFmtId="0" fontId="7" fillId="3" borderId="11" xfId="0" applyFont="1" applyFill="1" applyBorder="1" applyAlignment="1" applyProtection="1">
      <alignment horizontal="center"/>
    </xf>
    <xf numFmtId="2" fontId="5" fillId="3" borderId="11" xfId="0" applyNumberFormat="1" applyFont="1" applyFill="1" applyBorder="1" applyAlignment="1" applyProtection="1">
      <alignment horizontal="center"/>
    </xf>
    <xf numFmtId="0" fontId="0" fillId="3" borderId="0" xfId="0" applyFont="1" applyFill="1" applyBorder="1" applyProtection="1"/>
    <xf numFmtId="0" fontId="8" fillId="3" borderId="0" xfId="0" applyFont="1" applyFill="1" applyBorder="1" applyAlignment="1" applyProtection="1">
      <alignment horizontal="right"/>
    </xf>
    <xf numFmtId="172" fontId="5" fillId="0" borderId="0" xfId="0" applyNumberFormat="1" applyFont="1" applyBorder="1" applyAlignment="1" applyProtection="1">
      <alignment horizontal="center"/>
    </xf>
    <xf numFmtId="169" fontId="5" fillId="3" borderId="0" xfId="0" applyNumberFormat="1" applyFont="1" applyFill="1" applyBorder="1" applyAlignment="1" applyProtection="1">
      <alignment horizontal="center"/>
    </xf>
    <xf numFmtId="0" fontId="7" fillId="3" borderId="0" xfId="0" applyFont="1" applyFill="1" applyBorder="1" applyAlignment="1" applyProtection="1">
      <alignment horizontal="center"/>
    </xf>
    <xf numFmtId="2" fontId="5" fillId="3" borderId="0" xfId="0" applyNumberFormat="1" applyFont="1" applyFill="1" applyBorder="1" applyAlignment="1" applyProtection="1">
      <alignment horizontal="center"/>
    </xf>
    <xf numFmtId="0" fontId="0" fillId="3" borderId="0" xfId="0" applyFont="1" applyFill="1" applyBorder="1" applyAlignment="1" applyProtection="1">
      <alignment horizontal="center"/>
    </xf>
    <xf numFmtId="2" fontId="0" fillId="3" borderId="0" xfId="0" applyNumberFormat="1" applyFont="1" applyFill="1" applyBorder="1" applyAlignment="1" applyProtection="1">
      <alignment horizontal="center"/>
    </xf>
    <xf numFmtId="0" fontId="0" fillId="0" borderId="0" xfId="0" applyAlignment="1">
      <alignment horizontal="center"/>
    </xf>
    <xf numFmtId="0" fontId="5" fillId="3" borderId="0" xfId="0" applyFont="1" applyFill="1" applyAlignment="1" applyProtection="1">
      <alignment horizontal="right" vertical="center"/>
    </xf>
    <xf numFmtId="0" fontId="5" fillId="0" borderId="0" xfId="0" applyFont="1" applyAlignment="1" applyProtection="1">
      <alignment horizontal="right" vertical="center"/>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0" fillId="0" borderId="0" xfId="0" applyFont="1" applyAlignment="1" applyProtection="1">
      <alignment horizontal="left" vertical="center" wrapText="1"/>
    </xf>
    <xf numFmtId="0" fontId="0" fillId="3" borderId="0" xfId="0" applyFont="1" applyFill="1" applyAlignment="1" applyProtection="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14" fillId="3" borderId="0" xfId="0" applyFont="1" applyFill="1" applyBorder="1" applyAlignment="1" applyProtection="1">
      <alignment vertical="center" wrapText="1"/>
    </xf>
    <xf numFmtId="2" fontId="0" fillId="3" borderId="11" xfId="0" applyNumberFormat="1" applyFont="1" applyFill="1" applyBorder="1" applyAlignment="1" applyProtection="1">
      <alignment horizontal="center"/>
    </xf>
    <xf numFmtId="0" fontId="15" fillId="3" borderId="12"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6" xfId="0" applyFont="1" applyFill="1" applyBorder="1" applyAlignment="1" applyProtection="1">
      <alignment horizontal="left" vertical="center" wrapText="1"/>
    </xf>
    <xf numFmtId="0" fontId="15" fillId="3" borderId="17" xfId="0" applyFont="1" applyFill="1" applyBorder="1" applyAlignment="1" applyProtection="1">
      <alignment horizontal="left" vertical="center" wrapText="1"/>
    </xf>
    <xf numFmtId="0" fontId="15" fillId="3" borderId="18" xfId="0" applyFont="1" applyFill="1" applyBorder="1" applyAlignment="1" applyProtection="1">
      <alignment horizontal="left" vertical="center" wrapText="1"/>
    </xf>
    <xf numFmtId="0" fontId="15" fillId="3" borderId="19" xfId="0" applyFont="1" applyFill="1" applyBorder="1" applyAlignment="1" applyProtection="1">
      <alignment horizontal="left" vertical="center" wrapText="1"/>
    </xf>
  </cellXfs>
  <cellStyles count="1">
    <cellStyle name="Normal" xfId="0" builtinId="0"/>
  </cellStyles>
  <dxfs count="31">
    <dxf>
      <font>
        <color theme="1"/>
      </font>
      <fill>
        <patternFill>
          <bgColor rgb="FFFF0000"/>
        </patternFill>
      </fill>
    </dxf>
    <dxf>
      <font>
        <color theme="0"/>
      </font>
      <fill>
        <patternFill>
          <bgColor theme="9"/>
        </patternFill>
      </fill>
    </dxf>
    <dxf>
      <fill>
        <patternFill>
          <bgColor theme="0"/>
        </patternFill>
      </fill>
    </dxf>
    <dxf>
      <font>
        <color theme="1"/>
      </font>
      <fill>
        <patternFill>
          <bgColor rgb="FFFF0000"/>
        </patternFill>
      </fill>
    </dxf>
    <dxf>
      <font>
        <color theme="0"/>
      </font>
      <fill>
        <patternFill>
          <bgColor theme="9"/>
        </patternFill>
      </fill>
    </dxf>
    <dxf>
      <fill>
        <patternFill>
          <bgColor theme="0"/>
        </patternFill>
      </fill>
    </dxf>
    <dxf>
      <font>
        <color theme="1"/>
      </font>
      <fill>
        <patternFill>
          <bgColor rgb="FFFF0000"/>
        </patternFill>
      </fill>
    </dxf>
    <dxf>
      <font>
        <color theme="0"/>
      </font>
      <fill>
        <patternFill>
          <bgColor theme="9"/>
        </patternFill>
      </fill>
    </dxf>
    <dxf>
      <fill>
        <patternFill>
          <bgColor theme="0"/>
        </patternFill>
      </fill>
    </dxf>
    <dxf>
      <fill>
        <patternFill>
          <bgColor theme="0"/>
        </patternFill>
      </fill>
    </dxf>
    <dxf>
      <font>
        <color theme="1"/>
      </font>
      <fill>
        <patternFill>
          <bgColor rgb="FFFF0000"/>
        </patternFill>
      </fill>
    </dxf>
    <dxf>
      <font>
        <color theme="0"/>
      </font>
      <fill>
        <patternFill>
          <bgColor theme="9"/>
        </patternFill>
      </fill>
    </dxf>
    <dxf>
      <font>
        <color theme="1"/>
      </font>
      <fill>
        <patternFill>
          <bgColor rgb="FFFF0000"/>
        </patternFill>
      </fill>
    </dxf>
    <dxf>
      <font>
        <color theme="0"/>
      </font>
      <fill>
        <patternFill>
          <bgColor theme="9"/>
        </patternFill>
      </fill>
    </dxf>
    <dxf>
      <font>
        <color theme="1"/>
      </font>
      <fill>
        <patternFill>
          <bgColor rgb="FFFF0000"/>
        </patternFill>
      </fill>
    </dxf>
    <dxf>
      <font>
        <color theme="0"/>
      </font>
      <fill>
        <patternFill>
          <bgColor theme="9"/>
        </patternFill>
      </fill>
    </dxf>
    <dxf>
      <fill>
        <patternFill>
          <bgColor theme="0"/>
        </patternFill>
      </fill>
    </dxf>
    <dxf>
      <font>
        <color theme="1"/>
      </font>
      <fill>
        <patternFill>
          <bgColor rgb="FFFF0000"/>
        </patternFill>
      </fill>
    </dxf>
    <dxf>
      <font>
        <color theme="0"/>
      </font>
      <fill>
        <patternFill>
          <bgColor theme="9"/>
        </patternFill>
      </fill>
    </dxf>
    <dxf>
      <fill>
        <patternFill>
          <bgColor theme="0"/>
        </patternFill>
      </fill>
    </dxf>
    <dxf>
      <font>
        <color theme="1"/>
      </font>
      <fill>
        <patternFill>
          <bgColor rgb="FFFF0000"/>
        </patternFill>
      </fill>
    </dxf>
    <dxf>
      <font>
        <color theme="0"/>
      </font>
      <fill>
        <patternFill>
          <bgColor theme="9"/>
        </patternFill>
      </fill>
    </dxf>
    <dxf>
      <fill>
        <patternFill>
          <bgColor theme="0"/>
        </patternFill>
      </fill>
    </dxf>
    <dxf>
      <font>
        <color theme="0"/>
      </font>
      <fill>
        <patternFill>
          <bgColor theme="9"/>
        </patternFill>
      </fill>
    </dxf>
    <dxf>
      <font>
        <color theme="1"/>
      </font>
      <fill>
        <patternFill>
          <bgColor rgb="FFFF0000"/>
        </patternFill>
      </fill>
    </dxf>
    <dxf>
      <font>
        <color theme="1"/>
      </font>
      <fill>
        <patternFill>
          <bgColor rgb="FFFF0000"/>
        </patternFill>
      </fill>
    </dxf>
    <dxf>
      <font>
        <color theme="0"/>
      </font>
      <fill>
        <patternFill>
          <bgColor theme="9"/>
        </patternFill>
      </fill>
    </dxf>
    <dxf>
      <font>
        <color theme="1"/>
      </font>
      <fill>
        <patternFill>
          <bgColor rgb="FFFF0000"/>
        </patternFill>
      </fill>
    </dxf>
    <dxf>
      <font>
        <color theme="0"/>
      </font>
      <fill>
        <patternFill>
          <bgColor theme="9"/>
        </patternFill>
      </fill>
    </dxf>
    <dxf>
      <font>
        <color theme="1"/>
      </font>
      <fill>
        <patternFill>
          <bgColor rgb="FFFF0000"/>
        </patternFill>
      </fill>
    </dxf>
    <dxf>
      <font>
        <color theme="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85"/>
  <sheetViews>
    <sheetView tabSelected="1" zoomScale="99" zoomScaleNormal="99" workbookViewId="0">
      <selection activeCell="C7" sqref="C7"/>
    </sheetView>
  </sheetViews>
  <sheetFormatPr defaultColWidth="9.140625" defaultRowHeight="15" x14ac:dyDescent="0.25"/>
  <cols>
    <col min="1" max="1" width="12.28515625" style="22" customWidth="1"/>
    <col min="2" max="2" width="14.140625" style="37" customWidth="1"/>
    <col min="3" max="3" width="21" style="37" customWidth="1"/>
    <col min="4" max="4" width="3.140625" style="37" customWidth="1"/>
    <col min="5" max="5" width="19.7109375" style="37" customWidth="1"/>
    <col min="6" max="6" width="18.42578125" style="37" customWidth="1"/>
    <col min="7" max="8" width="9.140625" style="22"/>
    <col min="9" max="9" width="10.28515625" style="22" customWidth="1"/>
    <col min="10" max="10" width="9.140625" style="22"/>
    <col min="11" max="11" width="9.85546875" style="22" customWidth="1"/>
    <col min="12" max="15" width="9.140625" style="22"/>
    <col min="16" max="16" width="6" style="22" customWidth="1"/>
    <col min="17" max="17" width="15.5703125" style="22" customWidth="1"/>
    <col min="18" max="16384" width="9.140625" style="22"/>
  </cols>
  <sheetData>
    <row r="1" spans="1:22" ht="26.25" x14ac:dyDescent="0.4">
      <c r="A1" s="19" t="s">
        <v>34</v>
      </c>
      <c r="B1" s="20"/>
      <c r="C1" s="20"/>
      <c r="D1" s="20"/>
      <c r="E1" s="20"/>
      <c r="F1" s="20"/>
      <c r="G1" s="21"/>
      <c r="H1" s="21"/>
      <c r="I1" s="21"/>
      <c r="J1" s="21"/>
      <c r="K1" s="21"/>
      <c r="L1" s="21"/>
      <c r="M1" s="21"/>
      <c r="N1" s="21"/>
      <c r="O1" s="21"/>
      <c r="P1" s="21"/>
      <c r="Q1" s="21"/>
    </row>
    <row r="2" spans="1:22" x14ac:dyDescent="0.25">
      <c r="A2" s="20"/>
      <c r="B2" s="20"/>
      <c r="C2" s="20"/>
      <c r="D2" s="20"/>
      <c r="E2" s="20"/>
      <c r="F2" s="20"/>
      <c r="G2" s="20"/>
      <c r="H2" s="20"/>
      <c r="I2" s="20"/>
      <c r="J2" s="20"/>
      <c r="K2" s="20"/>
      <c r="L2" s="20"/>
      <c r="M2" s="21"/>
      <c r="N2" s="21"/>
      <c r="O2" s="21"/>
      <c r="P2" s="21"/>
      <c r="Q2" s="21"/>
    </row>
    <row r="3" spans="1:22" x14ac:dyDescent="0.25">
      <c r="A3" s="52" t="s">
        <v>91</v>
      </c>
      <c r="B3" s="20"/>
      <c r="C3" s="20"/>
      <c r="D3" s="20"/>
      <c r="E3" s="20"/>
      <c r="F3" s="20"/>
      <c r="G3" s="20"/>
      <c r="H3" s="20"/>
      <c r="I3" s="20"/>
      <c r="J3" s="20"/>
      <c r="K3" s="20"/>
      <c r="L3" s="20"/>
      <c r="M3" s="21"/>
      <c r="N3" s="21"/>
      <c r="O3" s="21"/>
      <c r="P3" s="21"/>
      <c r="Q3" s="21"/>
    </row>
    <row r="4" spans="1:22" x14ac:dyDescent="0.25">
      <c r="A4" s="52" t="s">
        <v>93</v>
      </c>
      <c r="B4" s="52"/>
      <c r="C4" s="52"/>
      <c r="D4" s="52"/>
      <c r="E4" s="52"/>
      <c r="F4" s="52"/>
      <c r="G4" s="20"/>
      <c r="H4" s="20"/>
      <c r="I4" s="20"/>
      <c r="J4" s="20"/>
      <c r="K4" s="20"/>
      <c r="L4" s="20"/>
      <c r="M4" s="21"/>
      <c r="N4" s="21"/>
      <c r="O4" s="21"/>
      <c r="P4" s="21"/>
      <c r="Q4" s="21"/>
    </row>
    <row r="5" spans="1:22" ht="15.75" thickBot="1" x14ac:dyDescent="0.3">
      <c r="A5" s="51"/>
      <c r="B5" s="51"/>
      <c r="C5" s="51"/>
      <c r="D5" s="51"/>
      <c r="E5" s="51"/>
      <c r="F5" s="51"/>
      <c r="G5" s="51"/>
      <c r="H5" s="51"/>
      <c r="I5" s="51"/>
      <c r="J5" s="51"/>
      <c r="K5" s="51"/>
      <c r="L5" s="51"/>
      <c r="M5" s="21"/>
      <c r="N5" s="21"/>
      <c r="O5" s="21"/>
      <c r="P5" s="21"/>
      <c r="Q5" s="21"/>
    </row>
    <row r="6" spans="1:22" ht="15" customHeight="1" x14ac:dyDescent="0.25">
      <c r="A6" s="21"/>
      <c r="B6" s="20"/>
      <c r="C6" s="20"/>
      <c r="D6" s="20"/>
      <c r="E6" s="72" t="str">
        <f>VLOOKUP($C7,Fluids!$A$25:$I$28,2,FALSE)</f>
        <v>Compressors in machinery room or open air
If all compressors and pressure vessels are either located in a machinery room or in the open air then the requirements for a class II location shall apply unless the system complies with the requirements of class III. Coils and pipework including valves may be located in an occupied space.</v>
      </c>
      <c r="F6" s="73"/>
      <c r="G6" s="73"/>
      <c r="H6" s="73"/>
      <c r="I6" s="73"/>
      <c r="J6" s="73"/>
      <c r="K6" s="73"/>
      <c r="L6" s="73"/>
      <c r="M6" s="74"/>
      <c r="N6" s="21"/>
      <c r="O6" s="21"/>
      <c r="P6" s="21"/>
      <c r="Q6" s="21"/>
    </row>
    <row r="7" spans="1:22" ht="15" customHeight="1" x14ac:dyDescent="0.25">
      <c r="A7" s="70" t="s">
        <v>28</v>
      </c>
      <c r="B7" s="70"/>
      <c r="C7" s="16" t="s">
        <v>22</v>
      </c>
      <c r="D7" s="23"/>
      <c r="E7" s="75"/>
      <c r="F7" s="76"/>
      <c r="G7" s="76"/>
      <c r="H7" s="76"/>
      <c r="I7" s="76"/>
      <c r="J7" s="76"/>
      <c r="K7" s="76"/>
      <c r="L7" s="76"/>
      <c r="M7" s="77"/>
      <c r="N7" s="21"/>
      <c r="O7" s="21"/>
      <c r="P7" s="21"/>
      <c r="Q7" s="21"/>
    </row>
    <row r="8" spans="1:22" ht="30.75" customHeight="1" thickBot="1" x14ac:dyDescent="0.3">
      <c r="A8" s="24"/>
      <c r="B8" s="25"/>
      <c r="C8" s="20"/>
      <c r="D8" s="20"/>
      <c r="E8" s="78"/>
      <c r="F8" s="79"/>
      <c r="G8" s="79"/>
      <c r="H8" s="79"/>
      <c r="I8" s="79"/>
      <c r="J8" s="79"/>
      <c r="K8" s="79"/>
      <c r="L8" s="79"/>
      <c r="M8" s="80"/>
      <c r="N8" s="21"/>
      <c r="O8" s="21"/>
      <c r="P8" s="21"/>
      <c r="Q8" s="21"/>
    </row>
    <row r="9" spans="1:22" ht="15" customHeight="1" thickBot="1" x14ac:dyDescent="0.3">
      <c r="A9" s="26"/>
      <c r="B9" s="26"/>
      <c r="C9" s="20"/>
      <c r="D9" s="20"/>
      <c r="E9" s="27"/>
      <c r="F9" s="27"/>
      <c r="G9" s="27"/>
      <c r="H9" s="27"/>
      <c r="I9" s="27"/>
      <c r="J9" s="27"/>
      <c r="K9" s="53" t="s">
        <v>32</v>
      </c>
      <c r="L9" s="27"/>
      <c r="M9" s="27"/>
      <c r="N9" s="27"/>
      <c r="O9" s="27"/>
      <c r="P9" s="27"/>
      <c r="Q9" s="21"/>
    </row>
    <row r="10" spans="1:22" ht="15" customHeight="1" x14ac:dyDescent="0.25">
      <c r="A10" s="71" t="s">
        <v>29</v>
      </c>
      <c r="B10" s="71"/>
      <c r="C10" s="16" t="s">
        <v>15</v>
      </c>
      <c r="D10" s="20"/>
      <c r="E10" s="72" t="str">
        <f>VLOOKUP(C10,Fluids!$A$20:$I$22,2,FALSE)</f>
        <v>Rooms, parts of buildings, buildings where only authorized persons have access, who are acquainted with general and special safety precautions of the establishment and where manufacturing, processing or storage of material or products take place</v>
      </c>
      <c r="F10" s="73"/>
      <c r="G10" s="73"/>
      <c r="H10" s="73"/>
      <c r="I10" s="73"/>
      <c r="J10" s="74"/>
      <c r="K10" s="72" t="str">
        <f>VLOOKUP($C10,Fluids!$A$20:$R$22,11,FALSE)</f>
        <v>Manufacturing facilities, e.g. for chemicals, food, beverage, ice, ice-cream, refineries, cold stores, dairies, abattoirs, non-public areas in supermarkets</v>
      </c>
      <c r="L10" s="73"/>
      <c r="M10" s="73"/>
      <c r="N10" s="73"/>
      <c r="O10" s="73"/>
      <c r="P10" s="74"/>
      <c r="Q10" s="21"/>
    </row>
    <row r="11" spans="1:22" ht="30.75" customHeight="1" x14ac:dyDescent="0.25">
      <c r="A11" s="24"/>
      <c r="B11" s="25"/>
      <c r="C11" s="20"/>
      <c r="D11" s="20"/>
      <c r="E11" s="75"/>
      <c r="F11" s="76"/>
      <c r="G11" s="76"/>
      <c r="H11" s="76"/>
      <c r="I11" s="76"/>
      <c r="J11" s="77"/>
      <c r="K11" s="75"/>
      <c r="L11" s="76"/>
      <c r="M11" s="76"/>
      <c r="N11" s="76"/>
      <c r="O11" s="76"/>
      <c r="P11" s="77"/>
      <c r="Q11" s="21"/>
    </row>
    <row r="12" spans="1:22" ht="15.75" thickBot="1" x14ac:dyDescent="0.3">
      <c r="A12" s="24"/>
      <c r="B12" s="28"/>
      <c r="C12" s="20"/>
      <c r="D12" s="20"/>
      <c r="E12" s="78"/>
      <c r="F12" s="79"/>
      <c r="G12" s="79"/>
      <c r="H12" s="79"/>
      <c r="I12" s="79"/>
      <c r="J12" s="80"/>
      <c r="K12" s="78"/>
      <c r="L12" s="79"/>
      <c r="M12" s="79"/>
      <c r="N12" s="79"/>
      <c r="O12" s="79"/>
      <c r="P12" s="80"/>
      <c r="Q12" s="21"/>
    </row>
    <row r="13" spans="1:22" x14ac:dyDescent="0.25">
      <c r="A13" s="24"/>
      <c r="B13" s="28"/>
      <c r="C13" s="20"/>
      <c r="D13" s="20"/>
      <c r="E13" s="20"/>
      <c r="F13" s="20"/>
      <c r="G13" s="20"/>
      <c r="H13" s="20"/>
      <c r="I13" s="20"/>
      <c r="J13" s="20"/>
      <c r="K13" s="29"/>
      <c r="L13" s="20"/>
      <c r="M13" s="21"/>
      <c r="N13" s="21"/>
      <c r="O13" s="21"/>
      <c r="P13" s="30"/>
      <c r="Q13" s="30"/>
      <c r="R13" s="31"/>
      <c r="S13" s="31"/>
      <c r="T13" s="31"/>
      <c r="U13" s="31"/>
      <c r="V13" s="31"/>
    </row>
    <row r="14" spans="1:22" x14ac:dyDescent="0.25">
      <c r="A14" s="32"/>
      <c r="B14" s="33" t="s">
        <v>33</v>
      </c>
      <c r="C14" s="16" t="s">
        <v>27</v>
      </c>
      <c r="D14" s="20"/>
      <c r="E14" s="29" t="str">
        <f>IF(C14="Other Applications","",IF(AND(C14="&lt;1 Person per 10m²",C10="c"),"","WARNING: Only Valid for Access Category c"))</f>
        <v/>
      </c>
      <c r="G14" s="21"/>
      <c r="I14" s="20"/>
      <c r="J14" s="20"/>
      <c r="K14" s="21"/>
      <c r="L14" s="20"/>
      <c r="M14" s="21"/>
      <c r="N14" s="21"/>
      <c r="O14" s="21"/>
      <c r="P14" s="30"/>
      <c r="Q14" s="30"/>
      <c r="R14" s="31"/>
      <c r="S14" s="31"/>
      <c r="T14" s="31"/>
      <c r="U14" s="31"/>
      <c r="V14" s="31"/>
    </row>
    <row r="15" spans="1:22" x14ac:dyDescent="0.25">
      <c r="A15" s="21"/>
      <c r="B15" s="20"/>
      <c r="C15" s="20"/>
      <c r="D15" s="20"/>
      <c r="E15" s="20"/>
      <c r="F15" s="20"/>
      <c r="G15" s="21"/>
      <c r="H15" s="21"/>
      <c r="I15" s="21"/>
      <c r="J15" s="21"/>
      <c r="K15" s="21"/>
      <c r="L15" s="21"/>
      <c r="M15" s="21"/>
      <c r="N15" s="21"/>
      <c r="O15" s="21"/>
      <c r="P15" s="21"/>
      <c r="Q15" s="21"/>
    </row>
    <row r="16" spans="1:22" x14ac:dyDescent="0.25">
      <c r="A16" s="21"/>
      <c r="B16" s="28" t="s">
        <v>37</v>
      </c>
      <c r="C16" s="16" t="s">
        <v>3</v>
      </c>
      <c r="D16" s="20"/>
      <c r="E16" s="20" t="str">
        <f>VLOOKUP(C16,Fluids!$A$6:$H$10,8,FALSE)</f>
        <v>(R454A, GWP¹ = 239)</v>
      </c>
      <c r="F16" s="20"/>
      <c r="G16" s="21"/>
      <c r="H16" s="21"/>
      <c r="I16" s="21"/>
      <c r="J16" s="21"/>
      <c r="K16" s="21"/>
      <c r="L16" s="21"/>
      <c r="M16" s="21"/>
      <c r="N16" s="21"/>
      <c r="O16" s="21"/>
      <c r="P16" s="21"/>
      <c r="Q16" s="21"/>
    </row>
    <row r="17" spans="1:17" x14ac:dyDescent="0.25">
      <c r="A17" s="21"/>
      <c r="B17" s="28"/>
      <c r="C17" s="20"/>
      <c r="D17" s="20"/>
      <c r="E17" s="20"/>
      <c r="F17" s="20"/>
      <c r="G17" s="21"/>
      <c r="H17" s="21"/>
      <c r="I17" s="21"/>
      <c r="J17" s="21"/>
      <c r="K17" s="21"/>
      <c r="L17" s="21"/>
      <c r="M17" s="21"/>
      <c r="N17" s="21"/>
      <c r="O17" s="21"/>
      <c r="P17" s="21"/>
      <c r="Q17" s="21"/>
    </row>
    <row r="18" spans="1:17" x14ac:dyDescent="0.25">
      <c r="A18" s="34" t="s">
        <v>41</v>
      </c>
      <c r="B18" s="28"/>
      <c r="C18" s="28" t="s">
        <v>40</v>
      </c>
      <c r="D18" s="28"/>
      <c r="E18" s="17">
        <v>2</v>
      </c>
      <c r="F18" s="28" t="s">
        <v>39</v>
      </c>
      <c r="G18" s="17">
        <v>5</v>
      </c>
      <c r="H18" s="21"/>
      <c r="I18" s="21"/>
      <c r="J18" s="21"/>
      <c r="K18" s="21"/>
      <c r="L18" s="21"/>
      <c r="M18" s="21"/>
      <c r="N18" s="21"/>
      <c r="O18" s="21"/>
      <c r="P18" s="21"/>
      <c r="Q18" s="21"/>
    </row>
    <row r="19" spans="1:17" x14ac:dyDescent="0.25">
      <c r="A19" s="28"/>
      <c r="B19" s="20"/>
      <c r="C19" s="28" t="s">
        <v>38</v>
      </c>
      <c r="D19" s="28"/>
      <c r="E19" s="17">
        <v>5</v>
      </c>
      <c r="F19" s="35" t="s">
        <v>42</v>
      </c>
      <c r="G19" s="36">
        <f>E18*E19*G18</f>
        <v>50</v>
      </c>
      <c r="H19" s="21"/>
      <c r="I19" s="21"/>
      <c r="J19" s="21"/>
      <c r="K19" s="21"/>
      <c r="L19" s="21"/>
      <c r="M19" s="21"/>
      <c r="N19" s="21"/>
      <c r="O19" s="21"/>
      <c r="P19" s="21"/>
      <c r="Q19" s="21"/>
    </row>
    <row r="20" spans="1:17" x14ac:dyDescent="0.25">
      <c r="A20" s="21"/>
      <c r="B20" s="20"/>
      <c r="C20" s="20"/>
      <c r="D20" s="20"/>
      <c r="F20" s="20"/>
      <c r="G20" s="21"/>
      <c r="H20" s="21"/>
      <c r="I20" s="21"/>
      <c r="J20" s="21"/>
      <c r="K20" s="21"/>
      <c r="L20" s="21"/>
      <c r="M20" s="21"/>
      <c r="N20" s="21"/>
      <c r="O20" s="21"/>
      <c r="P20" s="21"/>
      <c r="Q20" s="21"/>
    </row>
    <row r="21" spans="1:17" x14ac:dyDescent="0.25">
      <c r="A21" s="21"/>
      <c r="B21" s="20"/>
      <c r="C21" s="28" t="s">
        <v>77</v>
      </c>
      <c r="D21" s="28"/>
      <c r="E21" s="18">
        <v>2.5</v>
      </c>
      <c r="F21" s="20"/>
      <c r="G21" s="21"/>
      <c r="H21" s="21"/>
      <c r="I21" s="21"/>
      <c r="J21" s="21"/>
      <c r="K21" s="21"/>
      <c r="L21" s="21"/>
      <c r="M21" s="21"/>
      <c r="N21" s="21"/>
      <c r="O21" s="21"/>
      <c r="P21" s="21"/>
      <c r="Q21" s="21"/>
    </row>
    <row r="22" spans="1:17" x14ac:dyDescent="0.25">
      <c r="A22" s="21"/>
      <c r="B22" s="38"/>
      <c r="C22" s="39"/>
      <c r="D22" s="39"/>
      <c r="E22" s="39"/>
      <c r="F22" s="39"/>
      <c r="G22" s="21"/>
      <c r="H22" s="40"/>
      <c r="I22" s="39"/>
      <c r="J22" s="21"/>
      <c r="K22" s="21"/>
      <c r="L22" s="21"/>
      <c r="M22" s="40"/>
      <c r="N22" s="21"/>
      <c r="O22" s="21"/>
      <c r="P22" s="21"/>
      <c r="Q22" s="21"/>
    </row>
    <row r="23" spans="1:17" ht="18.75" x14ac:dyDescent="0.3">
      <c r="A23" s="41" t="s">
        <v>85</v>
      </c>
      <c r="B23" s="20"/>
      <c r="C23" s="20"/>
      <c r="D23" s="20"/>
      <c r="E23" s="42"/>
      <c r="F23" s="42"/>
      <c r="G23" s="21"/>
      <c r="H23" s="21"/>
      <c r="I23" s="21"/>
      <c r="J23" s="21"/>
      <c r="K23" s="21"/>
      <c r="L23" s="21"/>
      <c r="M23" s="21"/>
      <c r="N23" s="43"/>
      <c r="O23" s="21"/>
      <c r="P23" s="21"/>
      <c r="Q23" s="21"/>
    </row>
    <row r="24" spans="1:17" x14ac:dyDescent="0.25">
      <c r="A24" s="21"/>
      <c r="B24" s="20"/>
      <c r="C24" s="42" t="str">
        <f>IF(_20__LFL_x_RV&lt;m1_,"Sealed System","")</f>
        <v/>
      </c>
      <c r="D24" s="42"/>
      <c r="E24" s="42" t="str">
        <f>IF(_20__LFL_x_RV&lt;m1_,IF(Fluids!$A$36="III","",IF(Fluids!$A$36="IV","","Non-Sealed System")),"")</f>
        <v/>
      </c>
      <c r="F24" s="42"/>
      <c r="G24" s="21"/>
      <c r="H24" s="21"/>
      <c r="I24" s="21"/>
      <c r="J24" s="21"/>
      <c r="K24" s="21"/>
      <c r="L24" s="21"/>
      <c r="M24" s="21"/>
      <c r="N24" s="43"/>
      <c r="O24" s="21"/>
      <c r="P24" s="21"/>
      <c r="Q24" s="21"/>
    </row>
    <row r="25" spans="1:17" x14ac:dyDescent="0.25">
      <c r="A25" s="21"/>
      <c r="B25" s="44" t="s">
        <v>86</v>
      </c>
      <c r="C25" s="54">
        <f ca="1">IFERROR(IF(Fluids!$A$36="III","No Charge Restriction",IF(Fluids!$A$36="IV",INDIRECT("aIV"),INDIRECT(Fluids!$D$36&amp;"C1"))),"N/A")</f>
        <v>2.7800000000000007</v>
      </c>
      <c r="D25" s="56"/>
      <c r="E25" s="54" t="str">
        <f ca="1">IF(_20__LFL_x_RV&lt;C25,IFERROR(IF(Fluids!$A$36="III","",IF(Fluids!$A$36="IV","",INDIRECT(Fluids!$D$36&amp;"C1"&amp;Fluids!E36))),"N/A"),"")</f>
        <v/>
      </c>
      <c r="F25" s="46" t="str">
        <f ca="1">IF(C25="No Charge Restriction","For open air, FprEN 378–3:2016, 4.2 applies and, for machinery rooms, FprEN 378–3:2016, 4.3 applies.","")</f>
        <v/>
      </c>
      <c r="G25" s="21"/>
      <c r="H25" s="21"/>
      <c r="I25" s="21"/>
      <c r="J25" s="21"/>
      <c r="K25" s="21"/>
      <c r="L25" s="21"/>
      <c r="M25" s="21"/>
      <c r="N25" s="43"/>
      <c r="O25" s="21"/>
      <c r="P25" s="21"/>
      <c r="Q25" s="21"/>
    </row>
    <row r="26" spans="1:17" x14ac:dyDescent="0.25">
      <c r="A26" s="21"/>
      <c r="B26" s="47"/>
      <c r="C26" s="55"/>
      <c r="D26" s="48"/>
      <c r="E26" s="45"/>
      <c r="F26" s="46"/>
      <c r="G26" s="21"/>
      <c r="H26" s="21"/>
      <c r="I26" s="21"/>
      <c r="J26" s="21"/>
      <c r="K26" s="21"/>
      <c r="L26" s="21"/>
      <c r="M26" s="21"/>
      <c r="N26" s="43"/>
      <c r="O26" s="21"/>
      <c r="P26" s="21"/>
      <c r="Q26" s="21"/>
    </row>
    <row r="27" spans="1:17" ht="16.5" customHeight="1" x14ac:dyDescent="0.25">
      <c r="A27" s="58"/>
      <c r="B27" s="59"/>
      <c r="C27" s="87" t="str">
        <f>IF(_20__LFL_x_RV&lt;m1_,"Sealed System","")</f>
        <v/>
      </c>
      <c r="D27" s="60"/>
      <c r="E27" s="42" t="str">
        <f>IF(_20__LFL_x_RV&lt;m1_,IF(Fluids!$A$36="III","",IF(Fluids!$A$36="IV","","Non-Sealed System")),"")</f>
        <v/>
      </c>
      <c r="F27" s="88" t="s">
        <v>92</v>
      </c>
      <c r="G27" s="89"/>
      <c r="H27" s="89"/>
      <c r="I27" s="89"/>
      <c r="J27" s="89"/>
      <c r="K27" s="89"/>
      <c r="L27" s="89"/>
      <c r="M27" s="89"/>
      <c r="N27" s="89"/>
      <c r="O27" s="89"/>
      <c r="P27" s="89"/>
      <c r="Q27" s="90"/>
    </row>
    <row r="28" spans="1:17" ht="16.5" customHeight="1" x14ac:dyDescent="0.25">
      <c r="A28" s="61"/>
      <c r="B28" s="62" t="s">
        <v>87</v>
      </c>
      <c r="C28" s="63">
        <f ca="1">IFERROR(INDIRECT(Fluids!$D$36&amp;"QLMV"),"N/A")</f>
        <v>3</v>
      </c>
      <c r="D28" s="64"/>
      <c r="E28" s="54" t="str">
        <f ca="1">IF(_20__LFL_x_RV&lt;C25,IFERROR(IF(Fluids!$A$36="III","",IF(Fluids!$A$36="IV","",INDIRECT(Fluids!$D$36&amp;"QLMV"&amp;Fluids!E36))),"N/A"),"")</f>
        <v/>
      </c>
      <c r="F28" s="91"/>
      <c r="G28" s="92"/>
      <c r="H28" s="92"/>
      <c r="I28" s="92"/>
      <c r="J28" s="92"/>
      <c r="K28" s="92"/>
      <c r="L28" s="92"/>
      <c r="M28" s="92"/>
      <c r="N28" s="92"/>
      <c r="O28" s="92"/>
      <c r="P28" s="92"/>
      <c r="Q28" s="93"/>
    </row>
    <row r="29" spans="1:17" ht="16.5" customHeight="1" x14ac:dyDescent="0.25">
      <c r="A29" s="61"/>
      <c r="B29" s="65"/>
      <c r="C29" s="42" t="str">
        <f>IF(_20__LFL_x_RV&lt;m1_,"Sealed System","")</f>
        <v/>
      </c>
      <c r="D29" s="66"/>
      <c r="E29" s="42" t="str">
        <f>IF(_20__LFL_x_RV&lt;m1_,IF(Fluids!$A$36="III","",IF(Fluids!$A$36="IV","","Non-Sealed System")),"")</f>
        <v/>
      </c>
      <c r="F29" s="91"/>
      <c r="G29" s="92"/>
      <c r="H29" s="92"/>
      <c r="I29" s="92"/>
      <c r="J29" s="92"/>
      <c r="K29" s="92"/>
      <c r="L29" s="92"/>
      <c r="M29" s="92"/>
      <c r="N29" s="92"/>
      <c r="O29" s="92"/>
      <c r="P29" s="92"/>
      <c r="Q29" s="93"/>
    </row>
    <row r="30" spans="1:17" ht="16.5" customHeight="1" x14ac:dyDescent="0.25">
      <c r="A30" s="61"/>
      <c r="B30" s="62" t="s">
        <v>88</v>
      </c>
      <c r="C30" s="63">
        <f ca="1">IFERROR(INDIRECT(Fluids!$D$36&amp;"QLAV"),"N/A")</f>
        <v>6.5</v>
      </c>
      <c r="D30" s="64"/>
      <c r="E30" s="54" t="str">
        <f ca="1">IF(_20__LFL_x_RV&lt;C25,IFERROR(IF(Fluids!$A$36="III","",IF(Fluids!$A$36="IV","",INDIRECT(Fluids!$D$36&amp;"QLAV"&amp;Fluids!E36))),"N/A"),"")</f>
        <v/>
      </c>
      <c r="F30" s="91"/>
      <c r="G30" s="92"/>
      <c r="H30" s="92"/>
      <c r="I30" s="92"/>
      <c r="J30" s="92"/>
      <c r="K30" s="92"/>
      <c r="L30" s="92"/>
      <c r="M30" s="92"/>
      <c r="N30" s="92"/>
      <c r="O30" s="92"/>
      <c r="P30" s="92"/>
      <c r="Q30" s="93"/>
    </row>
    <row r="31" spans="1:17" ht="16.5" customHeight="1" x14ac:dyDescent="0.25">
      <c r="A31" s="61"/>
      <c r="B31" s="67"/>
      <c r="C31" s="68"/>
      <c r="D31" s="68"/>
      <c r="E31" s="86"/>
      <c r="F31" s="94"/>
      <c r="G31" s="95"/>
      <c r="H31" s="95"/>
      <c r="I31" s="95"/>
      <c r="J31" s="95"/>
      <c r="K31" s="95"/>
      <c r="L31" s="95"/>
      <c r="M31" s="95"/>
      <c r="N31" s="95"/>
      <c r="O31" s="95"/>
      <c r="P31" s="95"/>
      <c r="Q31" s="96"/>
    </row>
    <row r="32" spans="1:17" s="21" customFormat="1" x14ac:dyDescent="0.25">
      <c r="B32" s="51"/>
      <c r="C32" s="42"/>
      <c r="D32" s="42"/>
    </row>
    <row r="33" spans="1:17" s="21" customFormat="1" x14ac:dyDescent="0.25">
      <c r="A33" s="21" t="s">
        <v>101</v>
      </c>
      <c r="B33" s="51"/>
      <c r="C33" s="42"/>
      <c r="D33" s="42"/>
    </row>
    <row r="34" spans="1:17" ht="35.25" customHeight="1" x14ac:dyDescent="0.25">
      <c r="A34" s="82" t="s">
        <v>100</v>
      </c>
      <c r="B34" s="82"/>
      <c r="C34" s="82"/>
      <c r="D34" s="82"/>
      <c r="E34" s="82"/>
      <c r="F34" s="82"/>
      <c r="G34" s="82"/>
      <c r="H34" s="82"/>
      <c r="I34" s="82"/>
      <c r="J34" s="82"/>
      <c r="K34" s="82"/>
      <c r="L34" s="82"/>
      <c r="M34" s="82"/>
      <c r="N34" s="82"/>
      <c r="O34" s="82"/>
      <c r="P34" s="57"/>
      <c r="Q34" s="21"/>
    </row>
    <row r="35" spans="1:17" ht="100.5" customHeight="1" x14ac:dyDescent="0.25">
      <c r="A35" s="81" t="s">
        <v>94</v>
      </c>
      <c r="B35" s="81"/>
      <c r="C35" s="81"/>
      <c r="D35" s="81"/>
      <c r="E35" s="81"/>
      <c r="F35" s="81"/>
      <c r="G35" s="81"/>
      <c r="H35" s="81"/>
      <c r="I35" s="81"/>
      <c r="J35" s="81"/>
      <c r="K35" s="81"/>
      <c r="L35" s="81"/>
      <c r="M35" s="81"/>
      <c r="N35" s="81"/>
      <c r="O35" s="21"/>
      <c r="P35" s="21"/>
      <c r="Q35" s="21"/>
    </row>
    <row r="36" spans="1:17" x14ac:dyDescent="0.25">
      <c r="A36" s="21"/>
      <c r="B36" s="20"/>
      <c r="C36" s="42"/>
      <c r="D36" s="42"/>
      <c r="E36" s="42"/>
      <c r="F36" s="42"/>
      <c r="G36" s="21"/>
      <c r="H36" s="21"/>
      <c r="I36" s="21"/>
      <c r="J36" s="21"/>
      <c r="K36" s="21"/>
      <c r="L36" s="21"/>
      <c r="M36" s="21"/>
      <c r="N36" s="43"/>
      <c r="O36" s="21"/>
      <c r="P36" s="21"/>
      <c r="Q36" s="21"/>
    </row>
    <row r="37" spans="1:17" x14ac:dyDescent="0.25">
      <c r="A37" s="21"/>
      <c r="B37" s="20"/>
      <c r="C37" s="42"/>
      <c r="D37" s="42"/>
      <c r="E37" s="42"/>
      <c r="F37" s="42"/>
      <c r="G37" s="21"/>
      <c r="H37" s="21"/>
      <c r="I37" s="21"/>
      <c r="J37" s="21"/>
      <c r="K37" s="21"/>
      <c r="L37" s="21"/>
      <c r="M37" s="21"/>
      <c r="N37" s="43"/>
      <c r="O37" s="21"/>
      <c r="P37" s="21"/>
      <c r="Q37" s="21"/>
    </row>
    <row r="38" spans="1:17" x14ac:dyDescent="0.25">
      <c r="A38" s="21"/>
      <c r="B38" s="20"/>
      <c r="C38" s="42"/>
      <c r="D38" s="42"/>
      <c r="E38" s="42"/>
      <c r="F38" s="42"/>
      <c r="G38" s="21"/>
      <c r="H38" s="21"/>
      <c r="I38" s="21"/>
      <c r="J38" s="21"/>
      <c r="K38" s="21"/>
      <c r="L38" s="21"/>
      <c r="M38" s="21"/>
      <c r="N38" s="43"/>
      <c r="O38" s="21"/>
      <c r="P38" s="21"/>
      <c r="Q38" s="21"/>
    </row>
    <row r="39" spans="1:17" x14ac:dyDescent="0.25">
      <c r="A39" s="21"/>
      <c r="B39" s="20"/>
      <c r="C39" s="42"/>
      <c r="D39" s="42"/>
      <c r="E39" s="42"/>
      <c r="F39" s="42"/>
      <c r="G39" s="21"/>
      <c r="H39" s="21"/>
      <c r="I39" s="21"/>
      <c r="J39" s="21"/>
      <c r="K39" s="21"/>
      <c r="L39" s="21"/>
      <c r="M39" s="21"/>
      <c r="N39" s="43"/>
      <c r="O39" s="21"/>
      <c r="P39" s="21"/>
      <c r="Q39" s="21"/>
    </row>
    <row r="40" spans="1:17" x14ac:dyDescent="0.25">
      <c r="A40" s="21"/>
      <c r="B40" s="20"/>
      <c r="C40" s="42"/>
      <c r="D40" s="42"/>
      <c r="E40" s="42"/>
      <c r="F40" s="42"/>
      <c r="G40" s="21"/>
      <c r="H40" s="21"/>
      <c r="I40" s="21"/>
      <c r="J40" s="21"/>
      <c r="K40" s="21"/>
      <c r="N40" s="49"/>
    </row>
    <row r="41" spans="1:17" x14ac:dyDescent="0.25">
      <c r="C41" s="50"/>
      <c r="D41" s="50"/>
      <c r="E41" s="50"/>
      <c r="F41" s="50"/>
      <c r="N41" s="49"/>
    </row>
    <row r="42" spans="1:17" x14ac:dyDescent="0.25">
      <c r="C42" s="50"/>
      <c r="D42" s="50"/>
      <c r="E42" s="50"/>
      <c r="F42" s="50"/>
      <c r="N42" s="49"/>
    </row>
    <row r="43" spans="1:17" x14ac:dyDescent="0.25">
      <c r="C43" s="50"/>
      <c r="D43" s="50"/>
      <c r="E43" s="50"/>
      <c r="F43" s="50"/>
      <c r="N43" s="49"/>
    </row>
    <row r="44" spans="1:17" x14ac:dyDescent="0.25">
      <c r="C44" s="50"/>
      <c r="D44" s="50"/>
      <c r="E44" s="50"/>
      <c r="F44" s="50"/>
      <c r="N44" s="49"/>
    </row>
    <row r="45" spans="1:17" x14ac:dyDescent="0.25">
      <c r="C45" s="50"/>
      <c r="D45" s="50"/>
      <c r="E45" s="50"/>
      <c r="F45" s="50"/>
      <c r="N45" s="49"/>
    </row>
    <row r="46" spans="1:17" x14ac:dyDescent="0.25">
      <c r="C46" s="50"/>
      <c r="D46" s="50"/>
      <c r="E46" s="50"/>
      <c r="F46" s="50"/>
      <c r="N46" s="49"/>
    </row>
    <row r="47" spans="1:17" x14ac:dyDescent="0.25">
      <c r="C47" s="50"/>
      <c r="D47" s="50"/>
      <c r="E47" s="50"/>
      <c r="F47" s="50"/>
      <c r="N47" s="49"/>
    </row>
    <row r="48" spans="1:17" x14ac:dyDescent="0.25">
      <c r="C48" s="50"/>
      <c r="D48" s="50"/>
      <c r="E48" s="50"/>
      <c r="F48" s="50"/>
      <c r="N48" s="49"/>
    </row>
    <row r="49" spans="3:14" x14ac:dyDescent="0.25">
      <c r="C49" s="50"/>
      <c r="D49" s="50"/>
      <c r="E49" s="50"/>
      <c r="F49" s="50"/>
      <c r="N49" s="49"/>
    </row>
    <row r="50" spans="3:14" x14ac:dyDescent="0.25">
      <c r="C50" s="50"/>
      <c r="D50" s="50"/>
      <c r="E50" s="50"/>
      <c r="F50" s="50"/>
      <c r="N50" s="49"/>
    </row>
    <row r="51" spans="3:14" x14ac:dyDescent="0.25">
      <c r="C51" s="50"/>
      <c r="D51" s="50"/>
      <c r="E51" s="50"/>
      <c r="F51" s="50"/>
      <c r="N51" s="49"/>
    </row>
    <row r="52" spans="3:14" x14ac:dyDescent="0.25">
      <c r="C52" s="50"/>
      <c r="D52" s="50"/>
      <c r="E52" s="50"/>
      <c r="F52" s="50"/>
      <c r="N52" s="49"/>
    </row>
    <row r="53" spans="3:14" x14ac:dyDescent="0.25">
      <c r="C53" s="50"/>
      <c r="D53" s="50"/>
      <c r="E53" s="50"/>
      <c r="F53" s="50"/>
      <c r="N53" s="49"/>
    </row>
    <row r="54" spans="3:14" x14ac:dyDescent="0.25">
      <c r="C54" s="50"/>
      <c r="D54" s="50"/>
      <c r="E54" s="50"/>
      <c r="F54" s="50"/>
      <c r="N54" s="49"/>
    </row>
    <row r="55" spans="3:14" x14ac:dyDescent="0.25">
      <c r="C55" s="50"/>
      <c r="D55" s="50"/>
      <c r="E55" s="50"/>
      <c r="F55" s="50"/>
      <c r="N55" s="49"/>
    </row>
    <row r="56" spans="3:14" x14ac:dyDescent="0.25">
      <c r="C56" s="50"/>
      <c r="D56" s="50"/>
      <c r="E56" s="50"/>
      <c r="F56" s="50"/>
      <c r="N56" s="49"/>
    </row>
    <row r="57" spans="3:14" x14ac:dyDescent="0.25">
      <c r="C57" s="50"/>
      <c r="D57" s="50"/>
      <c r="E57" s="50"/>
      <c r="F57" s="50"/>
      <c r="N57" s="49"/>
    </row>
    <row r="58" spans="3:14" x14ac:dyDescent="0.25">
      <c r="C58" s="50"/>
      <c r="D58" s="50"/>
      <c r="E58" s="50"/>
      <c r="F58" s="50"/>
      <c r="N58" s="49"/>
    </row>
    <row r="59" spans="3:14" x14ac:dyDescent="0.25">
      <c r="C59" s="50"/>
      <c r="D59" s="50"/>
      <c r="E59" s="50"/>
      <c r="F59" s="50"/>
      <c r="N59" s="49"/>
    </row>
    <row r="60" spans="3:14" x14ac:dyDescent="0.25">
      <c r="C60" s="50"/>
      <c r="D60" s="50"/>
      <c r="E60" s="50"/>
      <c r="F60" s="50"/>
      <c r="N60" s="49"/>
    </row>
    <row r="61" spans="3:14" x14ac:dyDescent="0.25">
      <c r="C61" s="50"/>
      <c r="D61" s="50"/>
      <c r="E61" s="50"/>
      <c r="F61" s="50"/>
      <c r="N61" s="49"/>
    </row>
    <row r="62" spans="3:14" x14ac:dyDescent="0.25">
      <c r="C62" s="50"/>
      <c r="D62" s="50"/>
      <c r="E62" s="50"/>
      <c r="F62" s="50"/>
      <c r="N62" s="49"/>
    </row>
    <row r="63" spans="3:14" x14ac:dyDescent="0.25">
      <c r="C63" s="50"/>
      <c r="D63" s="50"/>
      <c r="E63" s="50"/>
      <c r="F63" s="50"/>
      <c r="N63" s="49"/>
    </row>
    <row r="64" spans="3:14" x14ac:dyDescent="0.25">
      <c r="C64" s="50"/>
      <c r="D64" s="50"/>
      <c r="E64" s="50"/>
      <c r="F64" s="50"/>
      <c r="N64" s="49"/>
    </row>
    <row r="65" spans="3:14" x14ac:dyDescent="0.25">
      <c r="C65" s="50"/>
      <c r="D65" s="50"/>
      <c r="E65" s="50"/>
      <c r="F65" s="50"/>
      <c r="N65" s="49"/>
    </row>
    <row r="66" spans="3:14" x14ac:dyDescent="0.25">
      <c r="C66" s="50"/>
      <c r="D66" s="50"/>
      <c r="E66" s="50"/>
      <c r="F66" s="50"/>
      <c r="N66" s="49"/>
    </row>
    <row r="67" spans="3:14" x14ac:dyDescent="0.25">
      <c r="C67" s="50"/>
      <c r="D67" s="50"/>
      <c r="E67" s="50"/>
      <c r="F67" s="50"/>
      <c r="N67" s="49"/>
    </row>
    <row r="68" spans="3:14" x14ac:dyDescent="0.25">
      <c r="C68" s="50"/>
      <c r="D68" s="50"/>
      <c r="E68" s="50"/>
      <c r="F68" s="50"/>
      <c r="N68" s="49"/>
    </row>
    <row r="69" spans="3:14" x14ac:dyDescent="0.25">
      <c r="C69" s="50"/>
      <c r="D69" s="50"/>
      <c r="E69" s="50"/>
      <c r="F69" s="50"/>
      <c r="N69" s="49"/>
    </row>
    <row r="70" spans="3:14" x14ac:dyDescent="0.25">
      <c r="C70" s="50"/>
      <c r="D70" s="50"/>
      <c r="E70" s="50"/>
      <c r="F70" s="50"/>
      <c r="N70" s="49"/>
    </row>
    <row r="71" spans="3:14" x14ac:dyDescent="0.25">
      <c r="C71" s="50"/>
      <c r="D71" s="50"/>
      <c r="E71" s="50"/>
      <c r="F71" s="50"/>
      <c r="N71" s="49"/>
    </row>
    <row r="72" spans="3:14" x14ac:dyDescent="0.25">
      <c r="C72" s="50"/>
      <c r="D72" s="50"/>
      <c r="E72" s="50"/>
      <c r="F72" s="50"/>
      <c r="N72" s="49"/>
    </row>
    <row r="73" spans="3:14" x14ac:dyDescent="0.25">
      <c r="C73" s="50"/>
      <c r="D73" s="50"/>
      <c r="E73" s="50"/>
      <c r="F73" s="50"/>
      <c r="N73" s="49"/>
    </row>
    <row r="74" spans="3:14" x14ac:dyDescent="0.25">
      <c r="C74" s="50"/>
      <c r="D74" s="50"/>
      <c r="E74" s="50"/>
      <c r="F74" s="50"/>
      <c r="N74" s="49"/>
    </row>
    <row r="75" spans="3:14" x14ac:dyDescent="0.25">
      <c r="C75" s="50"/>
      <c r="D75" s="50"/>
      <c r="E75" s="50"/>
      <c r="F75" s="50"/>
      <c r="N75" s="49"/>
    </row>
    <row r="76" spans="3:14" x14ac:dyDescent="0.25">
      <c r="C76" s="50"/>
      <c r="D76" s="50"/>
      <c r="E76" s="50"/>
      <c r="F76" s="50"/>
      <c r="N76" s="49"/>
    </row>
    <row r="77" spans="3:14" x14ac:dyDescent="0.25">
      <c r="C77" s="50"/>
      <c r="D77" s="50"/>
      <c r="E77" s="50"/>
      <c r="F77" s="50"/>
      <c r="N77" s="49"/>
    </row>
    <row r="78" spans="3:14" x14ac:dyDescent="0.25">
      <c r="C78" s="50"/>
      <c r="D78" s="50"/>
      <c r="E78" s="50"/>
      <c r="F78" s="50"/>
      <c r="N78" s="49"/>
    </row>
    <row r="79" spans="3:14" x14ac:dyDescent="0.25">
      <c r="C79" s="50"/>
      <c r="D79" s="50"/>
      <c r="E79" s="50"/>
      <c r="F79" s="50"/>
      <c r="N79" s="49"/>
    </row>
    <row r="80" spans="3:14" x14ac:dyDescent="0.25">
      <c r="C80" s="50"/>
      <c r="D80" s="50"/>
      <c r="E80" s="50"/>
      <c r="F80" s="50"/>
      <c r="N80" s="49"/>
    </row>
    <row r="81" spans="3:14" x14ac:dyDescent="0.25">
      <c r="C81" s="50"/>
      <c r="D81" s="50"/>
      <c r="E81" s="50"/>
      <c r="F81" s="50"/>
      <c r="N81" s="49"/>
    </row>
    <row r="82" spans="3:14" x14ac:dyDescent="0.25">
      <c r="C82" s="50"/>
      <c r="D82" s="50"/>
      <c r="E82" s="50"/>
      <c r="F82" s="50"/>
      <c r="N82" s="49"/>
    </row>
    <row r="83" spans="3:14" x14ac:dyDescent="0.25">
      <c r="C83" s="50"/>
      <c r="D83" s="50"/>
      <c r="E83" s="50"/>
      <c r="F83" s="50"/>
      <c r="N83" s="49"/>
    </row>
    <row r="84" spans="3:14" x14ac:dyDescent="0.25">
      <c r="C84" s="50"/>
      <c r="D84" s="50"/>
      <c r="E84" s="50"/>
      <c r="F84" s="50"/>
      <c r="N84" s="49"/>
    </row>
    <row r="85" spans="3:14" x14ac:dyDescent="0.25">
      <c r="C85" s="50"/>
      <c r="D85" s="50"/>
      <c r="E85" s="50"/>
      <c r="F85" s="50"/>
      <c r="N85" s="49"/>
    </row>
    <row r="86" spans="3:14" x14ac:dyDescent="0.25">
      <c r="C86" s="50"/>
      <c r="D86" s="50"/>
      <c r="E86" s="50"/>
      <c r="F86" s="50"/>
      <c r="N86" s="49"/>
    </row>
    <row r="87" spans="3:14" x14ac:dyDescent="0.25">
      <c r="C87" s="50"/>
      <c r="D87" s="50"/>
      <c r="E87" s="50"/>
      <c r="F87" s="50"/>
      <c r="N87" s="49"/>
    </row>
    <row r="88" spans="3:14" x14ac:dyDescent="0.25">
      <c r="C88" s="50"/>
      <c r="D88" s="50"/>
      <c r="E88" s="50"/>
      <c r="F88" s="50"/>
      <c r="N88" s="49"/>
    </row>
    <row r="89" spans="3:14" x14ac:dyDescent="0.25">
      <c r="C89" s="50"/>
      <c r="D89" s="50"/>
      <c r="E89" s="50"/>
      <c r="F89" s="50"/>
      <c r="N89" s="49"/>
    </row>
    <row r="90" spans="3:14" x14ac:dyDescent="0.25">
      <c r="C90" s="50"/>
      <c r="D90" s="50"/>
      <c r="E90" s="50"/>
      <c r="F90" s="50"/>
      <c r="N90" s="49"/>
    </row>
    <row r="91" spans="3:14" x14ac:dyDescent="0.25">
      <c r="C91" s="50"/>
      <c r="D91" s="50"/>
      <c r="E91" s="50"/>
      <c r="F91" s="50"/>
      <c r="N91" s="49"/>
    </row>
    <row r="92" spans="3:14" x14ac:dyDescent="0.25">
      <c r="C92" s="50"/>
      <c r="D92" s="50"/>
      <c r="E92" s="50"/>
      <c r="F92" s="50"/>
      <c r="N92" s="49"/>
    </row>
    <row r="93" spans="3:14" x14ac:dyDescent="0.25">
      <c r="C93" s="50"/>
      <c r="D93" s="50"/>
      <c r="E93" s="50"/>
      <c r="F93" s="50"/>
      <c r="N93" s="49"/>
    </row>
    <row r="94" spans="3:14" x14ac:dyDescent="0.25">
      <c r="C94" s="50"/>
      <c r="D94" s="50"/>
      <c r="E94" s="50"/>
      <c r="F94" s="50"/>
      <c r="N94" s="49"/>
    </row>
    <row r="95" spans="3:14" x14ac:dyDescent="0.25">
      <c r="C95" s="50"/>
      <c r="D95" s="50"/>
      <c r="E95" s="50"/>
      <c r="F95" s="50"/>
      <c r="N95" s="49"/>
    </row>
    <row r="96" spans="3:14" x14ac:dyDescent="0.25">
      <c r="C96" s="50"/>
      <c r="D96" s="50"/>
      <c r="E96" s="50"/>
      <c r="F96" s="50"/>
      <c r="N96" s="49"/>
    </row>
    <row r="97" spans="3:14" x14ac:dyDescent="0.25">
      <c r="C97" s="50"/>
      <c r="D97" s="50"/>
      <c r="E97" s="50"/>
      <c r="F97" s="50"/>
      <c r="N97" s="49"/>
    </row>
    <row r="98" spans="3:14" x14ac:dyDescent="0.25">
      <c r="C98" s="50"/>
      <c r="D98" s="50"/>
      <c r="E98" s="50"/>
      <c r="F98" s="50"/>
      <c r="N98" s="49"/>
    </row>
    <row r="99" spans="3:14" x14ac:dyDescent="0.25">
      <c r="C99" s="50"/>
      <c r="D99" s="50"/>
      <c r="E99" s="50"/>
      <c r="F99" s="50"/>
      <c r="N99" s="49"/>
    </row>
    <row r="100" spans="3:14" x14ac:dyDescent="0.25">
      <c r="C100" s="50"/>
      <c r="D100" s="50"/>
      <c r="E100" s="50"/>
      <c r="F100" s="50"/>
      <c r="N100" s="49"/>
    </row>
    <row r="101" spans="3:14" x14ac:dyDescent="0.25">
      <c r="C101" s="50"/>
      <c r="D101" s="50"/>
      <c r="E101" s="50"/>
      <c r="F101" s="50"/>
      <c r="N101" s="49"/>
    </row>
    <row r="102" spans="3:14" x14ac:dyDescent="0.25">
      <c r="C102" s="50"/>
      <c r="D102" s="50"/>
      <c r="E102" s="50"/>
      <c r="F102" s="50"/>
      <c r="N102" s="49"/>
    </row>
    <row r="103" spans="3:14" x14ac:dyDescent="0.25">
      <c r="C103" s="50"/>
      <c r="D103" s="50"/>
      <c r="E103" s="50"/>
      <c r="F103" s="50"/>
      <c r="N103" s="49"/>
    </row>
    <row r="104" spans="3:14" x14ac:dyDescent="0.25">
      <c r="C104" s="50"/>
      <c r="D104" s="50"/>
      <c r="E104" s="50"/>
      <c r="F104" s="50"/>
      <c r="N104" s="49"/>
    </row>
    <row r="105" spans="3:14" x14ac:dyDescent="0.25">
      <c r="C105" s="50"/>
      <c r="D105" s="50"/>
      <c r="E105" s="50"/>
      <c r="F105" s="50"/>
      <c r="N105" s="49"/>
    </row>
    <row r="106" spans="3:14" x14ac:dyDescent="0.25">
      <c r="C106" s="50"/>
      <c r="D106" s="50"/>
      <c r="E106" s="50"/>
      <c r="F106" s="50"/>
      <c r="N106" s="49"/>
    </row>
    <row r="107" spans="3:14" x14ac:dyDescent="0.25">
      <c r="C107" s="50"/>
      <c r="D107" s="50"/>
      <c r="E107" s="50"/>
      <c r="F107" s="50"/>
      <c r="N107" s="49"/>
    </row>
    <row r="108" spans="3:14" x14ac:dyDescent="0.25">
      <c r="C108" s="50"/>
      <c r="D108" s="50"/>
      <c r="E108" s="50"/>
      <c r="F108" s="50"/>
      <c r="N108" s="49"/>
    </row>
    <row r="109" spans="3:14" x14ac:dyDescent="0.25">
      <c r="C109" s="50"/>
      <c r="D109" s="50"/>
      <c r="E109" s="50"/>
      <c r="F109" s="50"/>
      <c r="N109" s="49"/>
    </row>
    <row r="110" spans="3:14" x14ac:dyDescent="0.25">
      <c r="C110" s="50"/>
      <c r="D110" s="50"/>
      <c r="E110" s="50"/>
      <c r="F110" s="50"/>
      <c r="N110" s="49"/>
    </row>
    <row r="111" spans="3:14" x14ac:dyDescent="0.25">
      <c r="C111" s="50"/>
      <c r="D111" s="50"/>
      <c r="E111" s="50"/>
      <c r="F111" s="50"/>
      <c r="N111" s="49"/>
    </row>
    <row r="112" spans="3:14" x14ac:dyDescent="0.25">
      <c r="C112" s="50"/>
      <c r="D112" s="50"/>
      <c r="E112" s="50"/>
      <c r="F112" s="50"/>
      <c r="N112" s="49"/>
    </row>
    <row r="113" spans="3:14" x14ac:dyDescent="0.25">
      <c r="C113" s="50"/>
      <c r="D113" s="50"/>
      <c r="E113" s="50"/>
      <c r="F113" s="50"/>
      <c r="N113" s="49"/>
    </row>
    <row r="114" spans="3:14" x14ac:dyDescent="0.25">
      <c r="C114" s="50"/>
      <c r="D114" s="50"/>
      <c r="E114" s="50"/>
      <c r="F114" s="50"/>
      <c r="N114" s="49"/>
    </row>
    <row r="115" spans="3:14" x14ac:dyDescent="0.25">
      <c r="C115" s="50"/>
      <c r="D115" s="50"/>
      <c r="E115" s="50"/>
      <c r="F115" s="50"/>
      <c r="N115" s="49"/>
    </row>
    <row r="116" spans="3:14" x14ac:dyDescent="0.25">
      <c r="C116" s="50"/>
      <c r="D116" s="50"/>
      <c r="E116" s="50"/>
      <c r="F116" s="50"/>
      <c r="N116" s="49"/>
    </row>
    <row r="117" spans="3:14" x14ac:dyDescent="0.25">
      <c r="C117" s="50"/>
      <c r="D117" s="50"/>
      <c r="E117" s="50"/>
      <c r="F117" s="50"/>
      <c r="N117" s="49"/>
    </row>
    <row r="118" spans="3:14" x14ac:dyDescent="0.25">
      <c r="C118" s="50"/>
      <c r="D118" s="50"/>
      <c r="E118" s="50"/>
      <c r="F118" s="50"/>
      <c r="N118" s="49"/>
    </row>
    <row r="119" spans="3:14" x14ac:dyDescent="0.25">
      <c r="C119" s="50"/>
      <c r="D119" s="50"/>
      <c r="E119" s="50"/>
      <c r="F119" s="50"/>
      <c r="N119" s="49"/>
    </row>
    <row r="120" spans="3:14" x14ac:dyDescent="0.25">
      <c r="C120" s="50"/>
      <c r="D120" s="50"/>
      <c r="E120" s="50"/>
      <c r="F120" s="50"/>
      <c r="N120" s="49"/>
    </row>
    <row r="121" spans="3:14" x14ac:dyDescent="0.25">
      <c r="C121" s="50"/>
      <c r="D121" s="50"/>
      <c r="E121" s="50"/>
      <c r="F121" s="50"/>
      <c r="N121" s="49"/>
    </row>
    <row r="122" spans="3:14" x14ac:dyDescent="0.25">
      <c r="C122" s="50"/>
      <c r="D122" s="50"/>
      <c r="E122" s="50"/>
      <c r="F122" s="50"/>
      <c r="N122" s="49"/>
    </row>
    <row r="123" spans="3:14" x14ac:dyDescent="0.25">
      <c r="C123" s="50"/>
      <c r="D123" s="50"/>
      <c r="E123" s="50"/>
      <c r="F123" s="50"/>
      <c r="N123" s="49"/>
    </row>
    <row r="124" spans="3:14" x14ac:dyDescent="0.25">
      <c r="C124" s="50"/>
      <c r="D124" s="50"/>
      <c r="E124" s="50"/>
      <c r="F124" s="50"/>
      <c r="N124" s="49"/>
    </row>
    <row r="125" spans="3:14" x14ac:dyDescent="0.25">
      <c r="C125" s="50"/>
      <c r="D125" s="50"/>
      <c r="E125" s="50"/>
      <c r="F125" s="50"/>
      <c r="N125" s="49"/>
    </row>
    <row r="126" spans="3:14" x14ac:dyDescent="0.25">
      <c r="C126" s="50"/>
      <c r="D126" s="50"/>
      <c r="E126" s="50"/>
      <c r="F126" s="50"/>
      <c r="N126" s="49"/>
    </row>
    <row r="127" spans="3:14" x14ac:dyDescent="0.25">
      <c r="C127" s="50"/>
      <c r="D127" s="50"/>
      <c r="E127" s="50"/>
      <c r="F127" s="50"/>
      <c r="N127" s="49"/>
    </row>
    <row r="128" spans="3:14" x14ac:dyDescent="0.25">
      <c r="C128" s="50"/>
      <c r="D128" s="50"/>
      <c r="E128" s="50"/>
      <c r="F128" s="50"/>
      <c r="N128" s="49"/>
    </row>
    <row r="129" spans="3:14" x14ac:dyDescent="0.25">
      <c r="C129" s="50"/>
      <c r="D129" s="50"/>
      <c r="E129" s="50"/>
      <c r="F129" s="50"/>
      <c r="N129" s="49"/>
    </row>
    <row r="130" spans="3:14" x14ac:dyDescent="0.25">
      <c r="C130" s="50"/>
      <c r="D130" s="50"/>
      <c r="E130" s="50"/>
      <c r="F130" s="50"/>
      <c r="N130" s="49"/>
    </row>
    <row r="131" spans="3:14" x14ac:dyDescent="0.25">
      <c r="C131" s="50"/>
      <c r="D131" s="50"/>
      <c r="E131" s="50"/>
      <c r="F131" s="50"/>
      <c r="N131" s="49"/>
    </row>
    <row r="132" spans="3:14" x14ac:dyDescent="0.25">
      <c r="C132" s="50"/>
      <c r="D132" s="50"/>
      <c r="E132" s="50"/>
      <c r="F132" s="50"/>
      <c r="N132" s="49"/>
    </row>
    <row r="133" spans="3:14" x14ac:dyDescent="0.25">
      <c r="C133" s="50"/>
      <c r="D133" s="50"/>
      <c r="E133" s="50"/>
      <c r="F133" s="50"/>
      <c r="N133" s="49"/>
    </row>
    <row r="134" spans="3:14" x14ac:dyDescent="0.25">
      <c r="C134" s="50"/>
      <c r="D134" s="50"/>
      <c r="E134" s="50"/>
      <c r="F134" s="50"/>
      <c r="N134" s="49"/>
    </row>
    <row r="135" spans="3:14" x14ac:dyDescent="0.25">
      <c r="C135" s="50"/>
      <c r="D135" s="50"/>
      <c r="E135" s="50"/>
      <c r="F135" s="50"/>
      <c r="N135" s="49"/>
    </row>
    <row r="136" spans="3:14" x14ac:dyDescent="0.25">
      <c r="C136" s="50"/>
      <c r="D136" s="50"/>
      <c r="E136" s="50"/>
      <c r="F136" s="50"/>
      <c r="N136" s="49"/>
    </row>
    <row r="137" spans="3:14" x14ac:dyDescent="0.25">
      <c r="C137" s="50"/>
      <c r="D137" s="50"/>
      <c r="E137" s="50"/>
      <c r="F137" s="50"/>
      <c r="N137" s="49"/>
    </row>
    <row r="138" spans="3:14" x14ac:dyDescent="0.25">
      <c r="C138" s="50"/>
      <c r="D138" s="50"/>
      <c r="E138" s="50"/>
      <c r="F138" s="50"/>
      <c r="N138" s="49"/>
    </row>
    <row r="139" spans="3:14" x14ac:dyDescent="0.25">
      <c r="C139" s="50"/>
      <c r="D139" s="50"/>
      <c r="E139" s="50"/>
      <c r="F139" s="50"/>
      <c r="N139" s="49"/>
    </row>
    <row r="140" spans="3:14" x14ac:dyDescent="0.25">
      <c r="C140" s="50"/>
      <c r="D140" s="50"/>
      <c r="E140" s="50"/>
      <c r="F140" s="50"/>
      <c r="N140" s="49"/>
    </row>
    <row r="141" spans="3:14" x14ac:dyDescent="0.25">
      <c r="C141" s="50"/>
      <c r="D141" s="50"/>
      <c r="E141" s="50"/>
      <c r="F141" s="50"/>
      <c r="N141" s="49"/>
    </row>
    <row r="142" spans="3:14" x14ac:dyDescent="0.25">
      <c r="C142" s="50"/>
      <c r="D142" s="50"/>
      <c r="E142" s="50"/>
      <c r="F142" s="50"/>
      <c r="N142" s="49"/>
    </row>
    <row r="143" spans="3:14" x14ac:dyDescent="0.25">
      <c r="C143" s="50"/>
      <c r="D143" s="50"/>
      <c r="E143" s="50"/>
      <c r="F143" s="50"/>
      <c r="N143" s="49"/>
    </row>
    <row r="144" spans="3:14" x14ac:dyDescent="0.25">
      <c r="C144" s="50"/>
      <c r="D144" s="50"/>
      <c r="E144" s="50"/>
      <c r="F144" s="50"/>
      <c r="N144" s="49"/>
    </row>
    <row r="145" spans="3:14" x14ac:dyDescent="0.25">
      <c r="C145" s="50"/>
      <c r="D145" s="50"/>
      <c r="E145" s="50"/>
      <c r="F145" s="50"/>
      <c r="N145" s="49"/>
    </row>
    <row r="146" spans="3:14" x14ac:dyDescent="0.25">
      <c r="C146" s="50"/>
      <c r="D146" s="50"/>
      <c r="E146" s="50"/>
      <c r="F146" s="50"/>
      <c r="N146" s="49"/>
    </row>
    <row r="147" spans="3:14" x14ac:dyDescent="0.25">
      <c r="C147" s="50"/>
      <c r="D147" s="50"/>
      <c r="E147" s="50"/>
      <c r="F147" s="50"/>
      <c r="N147" s="49"/>
    </row>
    <row r="148" spans="3:14" x14ac:dyDescent="0.25">
      <c r="C148" s="50"/>
      <c r="D148" s="50"/>
      <c r="E148" s="50"/>
      <c r="F148" s="50"/>
      <c r="N148" s="49"/>
    </row>
    <row r="149" spans="3:14" x14ac:dyDescent="0.25">
      <c r="C149" s="50"/>
      <c r="D149" s="50"/>
      <c r="E149" s="50"/>
      <c r="F149" s="50"/>
      <c r="N149" s="49"/>
    </row>
    <row r="150" spans="3:14" x14ac:dyDescent="0.25">
      <c r="C150" s="50"/>
      <c r="D150" s="50"/>
      <c r="E150" s="50"/>
      <c r="F150" s="50"/>
      <c r="N150" s="49"/>
    </row>
    <row r="151" spans="3:14" x14ac:dyDescent="0.25">
      <c r="C151" s="50"/>
      <c r="D151" s="50"/>
      <c r="E151" s="50"/>
      <c r="F151" s="50"/>
      <c r="N151" s="49"/>
    </row>
    <row r="152" spans="3:14" x14ac:dyDescent="0.25">
      <c r="C152" s="50"/>
      <c r="D152" s="50"/>
      <c r="E152" s="50"/>
      <c r="F152" s="50"/>
      <c r="N152" s="49"/>
    </row>
    <row r="153" spans="3:14" x14ac:dyDescent="0.25">
      <c r="C153" s="50"/>
      <c r="D153" s="50"/>
      <c r="E153" s="50"/>
      <c r="F153" s="50"/>
      <c r="N153" s="49"/>
    </row>
    <row r="154" spans="3:14" x14ac:dyDescent="0.25">
      <c r="C154" s="50"/>
      <c r="D154" s="50"/>
      <c r="E154" s="50"/>
      <c r="F154" s="50"/>
      <c r="N154" s="49"/>
    </row>
    <row r="155" spans="3:14" x14ac:dyDescent="0.25">
      <c r="C155" s="50"/>
      <c r="D155" s="50"/>
      <c r="E155" s="50"/>
      <c r="F155" s="50"/>
      <c r="N155" s="49"/>
    </row>
    <row r="156" spans="3:14" x14ac:dyDescent="0.25">
      <c r="C156" s="50"/>
      <c r="D156" s="50"/>
      <c r="E156" s="50"/>
      <c r="F156" s="50"/>
      <c r="N156" s="49"/>
    </row>
    <row r="157" spans="3:14" x14ac:dyDescent="0.25">
      <c r="C157" s="50"/>
      <c r="D157" s="50"/>
      <c r="E157" s="50"/>
      <c r="F157" s="50"/>
      <c r="N157" s="49"/>
    </row>
    <row r="158" spans="3:14" x14ac:dyDescent="0.25">
      <c r="C158" s="50"/>
      <c r="D158" s="50"/>
      <c r="E158" s="50"/>
      <c r="F158" s="50"/>
      <c r="N158" s="49"/>
    </row>
    <row r="159" spans="3:14" x14ac:dyDescent="0.25">
      <c r="C159" s="50"/>
      <c r="D159" s="50"/>
      <c r="E159" s="50"/>
      <c r="F159" s="50"/>
      <c r="N159" s="49"/>
    </row>
    <row r="160" spans="3:14" x14ac:dyDescent="0.25">
      <c r="C160" s="50"/>
      <c r="D160" s="50"/>
      <c r="E160" s="50"/>
      <c r="F160" s="50"/>
      <c r="N160" s="49"/>
    </row>
    <row r="161" spans="3:14" x14ac:dyDescent="0.25">
      <c r="C161" s="50"/>
      <c r="D161" s="50"/>
      <c r="E161" s="50"/>
      <c r="F161" s="50"/>
      <c r="N161" s="49"/>
    </row>
    <row r="162" spans="3:14" x14ac:dyDescent="0.25">
      <c r="C162" s="50"/>
      <c r="D162" s="50"/>
      <c r="E162" s="50"/>
      <c r="F162" s="50"/>
      <c r="N162" s="49"/>
    </row>
    <row r="163" spans="3:14" x14ac:dyDescent="0.25">
      <c r="C163" s="50"/>
      <c r="D163" s="50"/>
      <c r="E163" s="50"/>
      <c r="F163" s="50"/>
      <c r="N163" s="49"/>
    </row>
    <row r="164" spans="3:14" x14ac:dyDescent="0.25">
      <c r="C164" s="50"/>
      <c r="D164" s="50"/>
      <c r="E164" s="50"/>
      <c r="F164" s="50"/>
      <c r="N164" s="49"/>
    </row>
    <row r="165" spans="3:14" x14ac:dyDescent="0.25">
      <c r="C165" s="50"/>
      <c r="D165" s="50"/>
      <c r="E165" s="50"/>
      <c r="F165" s="50"/>
      <c r="N165" s="49"/>
    </row>
    <row r="166" spans="3:14" x14ac:dyDescent="0.25">
      <c r="C166" s="50"/>
      <c r="D166" s="50"/>
      <c r="E166" s="50"/>
      <c r="F166" s="50"/>
      <c r="N166" s="49"/>
    </row>
    <row r="167" spans="3:14" x14ac:dyDescent="0.25">
      <c r="C167" s="50"/>
      <c r="D167" s="50"/>
      <c r="E167" s="50"/>
      <c r="F167" s="50"/>
      <c r="N167" s="49"/>
    </row>
    <row r="168" spans="3:14" x14ac:dyDescent="0.25">
      <c r="C168" s="50"/>
      <c r="D168" s="50"/>
      <c r="E168" s="50"/>
      <c r="F168" s="50"/>
      <c r="N168" s="49"/>
    </row>
    <row r="169" spans="3:14" x14ac:dyDescent="0.25">
      <c r="C169" s="50"/>
      <c r="D169" s="50"/>
      <c r="E169" s="50"/>
      <c r="F169" s="50"/>
      <c r="N169" s="49"/>
    </row>
    <row r="170" spans="3:14" x14ac:dyDescent="0.25">
      <c r="C170" s="50"/>
      <c r="D170" s="50"/>
      <c r="E170" s="50"/>
      <c r="F170" s="50"/>
      <c r="N170" s="49"/>
    </row>
    <row r="171" spans="3:14" x14ac:dyDescent="0.25">
      <c r="C171" s="50"/>
      <c r="D171" s="50"/>
      <c r="E171" s="50"/>
      <c r="F171" s="50"/>
      <c r="N171" s="49"/>
    </row>
    <row r="172" spans="3:14" x14ac:dyDescent="0.25">
      <c r="C172" s="50"/>
      <c r="D172" s="50"/>
      <c r="E172" s="50"/>
      <c r="F172" s="50"/>
      <c r="N172" s="49"/>
    </row>
    <row r="173" spans="3:14" x14ac:dyDescent="0.25">
      <c r="C173" s="50"/>
      <c r="D173" s="50"/>
      <c r="E173" s="50"/>
      <c r="F173" s="50"/>
      <c r="N173" s="49"/>
    </row>
    <row r="174" spans="3:14" x14ac:dyDescent="0.25">
      <c r="C174" s="50"/>
      <c r="D174" s="50"/>
      <c r="E174" s="50"/>
      <c r="F174" s="50"/>
      <c r="N174" s="49"/>
    </row>
    <row r="175" spans="3:14" x14ac:dyDescent="0.25">
      <c r="C175" s="50"/>
      <c r="D175" s="50"/>
      <c r="E175" s="50"/>
      <c r="F175" s="50"/>
      <c r="N175" s="49"/>
    </row>
    <row r="176" spans="3:14" x14ac:dyDescent="0.25">
      <c r="C176" s="50"/>
      <c r="D176" s="50"/>
      <c r="E176" s="50"/>
      <c r="F176" s="50"/>
      <c r="N176" s="49"/>
    </row>
    <row r="177" spans="3:14" x14ac:dyDescent="0.25">
      <c r="C177" s="50"/>
      <c r="D177" s="50"/>
      <c r="E177" s="50"/>
      <c r="F177" s="50"/>
      <c r="N177" s="49"/>
    </row>
    <row r="178" spans="3:14" x14ac:dyDescent="0.25">
      <c r="C178" s="50"/>
      <c r="D178" s="50"/>
      <c r="E178" s="50"/>
      <c r="F178" s="50"/>
      <c r="N178" s="49"/>
    </row>
    <row r="179" spans="3:14" x14ac:dyDescent="0.25">
      <c r="C179" s="50"/>
      <c r="D179" s="50"/>
      <c r="E179" s="50"/>
      <c r="F179" s="50"/>
      <c r="N179" s="49"/>
    </row>
    <row r="180" spans="3:14" x14ac:dyDescent="0.25">
      <c r="C180" s="50"/>
      <c r="D180" s="50"/>
      <c r="E180" s="50"/>
      <c r="F180" s="50"/>
      <c r="N180" s="49"/>
    </row>
    <row r="181" spans="3:14" x14ac:dyDescent="0.25">
      <c r="C181" s="50"/>
      <c r="D181" s="50"/>
      <c r="E181" s="50"/>
      <c r="F181" s="50"/>
      <c r="N181" s="49"/>
    </row>
    <row r="182" spans="3:14" x14ac:dyDescent="0.25">
      <c r="C182" s="50"/>
      <c r="D182" s="50"/>
      <c r="E182" s="50"/>
      <c r="F182" s="50"/>
      <c r="N182" s="49"/>
    </row>
    <row r="183" spans="3:14" x14ac:dyDescent="0.25">
      <c r="C183" s="50"/>
      <c r="D183" s="50"/>
      <c r="E183" s="50"/>
      <c r="F183" s="50"/>
      <c r="N183" s="49"/>
    </row>
    <row r="184" spans="3:14" x14ac:dyDescent="0.25">
      <c r="C184" s="50"/>
      <c r="D184" s="50"/>
      <c r="E184" s="50"/>
      <c r="F184" s="50"/>
      <c r="N184" s="49"/>
    </row>
    <row r="185" spans="3:14" x14ac:dyDescent="0.25">
      <c r="C185" s="50"/>
      <c r="D185" s="50"/>
      <c r="E185" s="50"/>
      <c r="F185" s="50"/>
      <c r="N185" s="49"/>
    </row>
    <row r="186" spans="3:14" x14ac:dyDescent="0.25">
      <c r="C186" s="50"/>
      <c r="D186" s="50"/>
      <c r="E186" s="50"/>
      <c r="F186" s="50"/>
      <c r="N186" s="49"/>
    </row>
    <row r="187" spans="3:14" x14ac:dyDescent="0.25">
      <c r="C187" s="50"/>
      <c r="D187" s="50"/>
      <c r="E187" s="50"/>
      <c r="F187" s="50"/>
      <c r="N187" s="49"/>
    </row>
    <row r="188" spans="3:14" x14ac:dyDescent="0.25">
      <c r="C188" s="50"/>
      <c r="D188" s="50"/>
      <c r="E188" s="50"/>
      <c r="F188" s="50"/>
      <c r="N188" s="49"/>
    </row>
    <row r="189" spans="3:14" x14ac:dyDescent="0.25">
      <c r="C189" s="50"/>
      <c r="D189" s="50"/>
      <c r="E189" s="50"/>
      <c r="F189" s="50"/>
      <c r="N189" s="49"/>
    </row>
    <row r="190" spans="3:14" x14ac:dyDescent="0.25">
      <c r="C190" s="50"/>
      <c r="D190" s="50"/>
      <c r="E190" s="50"/>
      <c r="F190" s="50"/>
      <c r="N190" s="49"/>
    </row>
    <row r="191" spans="3:14" x14ac:dyDescent="0.25">
      <c r="C191" s="50"/>
      <c r="D191" s="50"/>
      <c r="E191" s="50"/>
      <c r="F191" s="50"/>
      <c r="N191" s="49"/>
    </row>
    <row r="192" spans="3:14" x14ac:dyDescent="0.25">
      <c r="C192" s="50"/>
      <c r="D192" s="50"/>
      <c r="E192" s="50"/>
      <c r="F192" s="50"/>
      <c r="N192" s="49"/>
    </row>
    <row r="193" spans="3:14" x14ac:dyDescent="0.25">
      <c r="C193" s="50"/>
      <c r="D193" s="50"/>
      <c r="E193" s="50"/>
      <c r="F193" s="50"/>
      <c r="N193" s="49"/>
    </row>
    <row r="194" spans="3:14" x14ac:dyDescent="0.25">
      <c r="C194" s="50"/>
      <c r="D194" s="50"/>
      <c r="E194" s="50"/>
      <c r="F194" s="50"/>
      <c r="N194" s="49"/>
    </row>
    <row r="195" spans="3:14" x14ac:dyDescent="0.25">
      <c r="C195" s="50"/>
      <c r="D195" s="50"/>
      <c r="E195" s="50"/>
      <c r="F195" s="50"/>
      <c r="N195" s="49"/>
    </row>
    <row r="196" spans="3:14" x14ac:dyDescent="0.25">
      <c r="C196" s="50"/>
      <c r="D196" s="50"/>
      <c r="E196" s="50"/>
      <c r="F196" s="50"/>
      <c r="N196" s="49"/>
    </row>
    <row r="197" spans="3:14" x14ac:dyDescent="0.25">
      <c r="C197" s="50"/>
      <c r="D197" s="50"/>
      <c r="E197" s="50"/>
      <c r="F197" s="50"/>
      <c r="N197" s="49"/>
    </row>
    <row r="198" spans="3:14" x14ac:dyDescent="0.25">
      <c r="C198" s="50"/>
      <c r="D198" s="50"/>
      <c r="E198" s="50"/>
      <c r="F198" s="50"/>
      <c r="N198" s="49"/>
    </row>
    <row r="199" spans="3:14" x14ac:dyDescent="0.25">
      <c r="C199" s="50"/>
      <c r="D199" s="50"/>
      <c r="E199" s="50"/>
      <c r="F199" s="50"/>
      <c r="N199" s="49"/>
    </row>
    <row r="200" spans="3:14" x14ac:dyDescent="0.25">
      <c r="C200" s="50"/>
      <c r="D200" s="50"/>
      <c r="E200" s="50"/>
      <c r="F200" s="50"/>
      <c r="N200" s="49"/>
    </row>
    <row r="201" spans="3:14" x14ac:dyDescent="0.25">
      <c r="C201" s="50"/>
      <c r="D201" s="50"/>
      <c r="E201" s="50"/>
      <c r="F201" s="50"/>
      <c r="N201" s="49"/>
    </row>
    <row r="202" spans="3:14" x14ac:dyDescent="0.25">
      <c r="C202" s="50"/>
      <c r="D202" s="50"/>
      <c r="E202" s="50"/>
      <c r="F202" s="50"/>
      <c r="N202" s="49"/>
    </row>
    <row r="203" spans="3:14" x14ac:dyDescent="0.25">
      <c r="C203" s="50"/>
      <c r="D203" s="50"/>
      <c r="E203" s="50"/>
      <c r="F203" s="50"/>
      <c r="N203" s="49"/>
    </row>
    <row r="204" spans="3:14" x14ac:dyDescent="0.25">
      <c r="C204" s="50"/>
      <c r="D204" s="50"/>
      <c r="E204" s="50"/>
      <c r="F204" s="50"/>
      <c r="N204" s="49"/>
    </row>
    <row r="205" spans="3:14" x14ac:dyDescent="0.25">
      <c r="C205" s="50"/>
      <c r="D205" s="50"/>
      <c r="E205" s="50"/>
      <c r="F205" s="50"/>
      <c r="N205" s="49"/>
    </row>
    <row r="206" spans="3:14" x14ac:dyDescent="0.25">
      <c r="C206" s="50"/>
      <c r="D206" s="50"/>
      <c r="E206" s="50"/>
      <c r="F206" s="50"/>
      <c r="N206" s="49"/>
    </row>
    <row r="207" spans="3:14" x14ac:dyDescent="0.25">
      <c r="C207" s="50"/>
      <c r="D207" s="50"/>
      <c r="E207" s="50"/>
      <c r="F207" s="50"/>
      <c r="N207" s="49"/>
    </row>
    <row r="208" spans="3:14" x14ac:dyDescent="0.25">
      <c r="C208" s="50"/>
      <c r="D208" s="50"/>
      <c r="E208" s="50"/>
      <c r="F208" s="50"/>
      <c r="N208" s="49"/>
    </row>
    <row r="209" spans="3:14" x14ac:dyDescent="0.25">
      <c r="C209" s="50"/>
      <c r="D209" s="50"/>
      <c r="E209" s="50"/>
      <c r="F209" s="50"/>
      <c r="N209" s="49"/>
    </row>
    <row r="210" spans="3:14" x14ac:dyDescent="0.25">
      <c r="C210" s="50"/>
      <c r="D210" s="50"/>
      <c r="E210" s="50"/>
      <c r="F210" s="50"/>
      <c r="N210" s="49"/>
    </row>
    <row r="211" spans="3:14" x14ac:dyDescent="0.25">
      <c r="C211" s="50"/>
      <c r="D211" s="50"/>
      <c r="E211" s="50"/>
      <c r="F211" s="50"/>
      <c r="N211" s="49"/>
    </row>
    <row r="212" spans="3:14" x14ac:dyDescent="0.25">
      <c r="C212" s="50"/>
      <c r="D212" s="50"/>
      <c r="E212" s="50"/>
      <c r="F212" s="50"/>
      <c r="N212" s="49"/>
    </row>
    <row r="213" spans="3:14" x14ac:dyDescent="0.25">
      <c r="C213" s="50"/>
      <c r="D213" s="50"/>
      <c r="E213" s="50"/>
      <c r="F213" s="50"/>
      <c r="N213" s="49"/>
    </row>
    <row r="214" spans="3:14" x14ac:dyDescent="0.25">
      <c r="C214" s="50"/>
      <c r="D214" s="50"/>
      <c r="E214" s="50"/>
      <c r="F214" s="50"/>
      <c r="N214" s="49"/>
    </row>
    <row r="215" spans="3:14" x14ac:dyDescent="0.25">
      <c r="C215" s="50"/>
      <c r="D215" s="50"/>
      <c r="E215" s="50"/>
      <c r="F215" s="50"/>
      <c r="N215" s="49"/>
    </row>
    <row r="216" spans="3:14" x14ac:dyDescent="0.25">
      <c r="C216" s="50"/>
      <c r="D216" s="50"/>
      <c r="E216" s="50"/>
      <c r="F216" s="50"/>
      <c r="N216" s="49"/>
    </row>
    <row r="217" spans="3:14" x14ac:dyDescent="0.25">
      <c r="C217" s="50"/>
      <c r="D217" s="50"/>
      <c r="E217" s="50"/>
      <c r="F217" s="50"/>
      <c r="N217" s="49"/>
    </row>
    <row r="218" spans="3:14" x14ac:dyDescent="0.25">
      <c r="C218" s="50"/>
      <c r="D218" s="50"/>
      <c r="E218" s="50"/>
      <c r="F218" s="50"/>
      <c r="N218" s="49"/>
    </row>
    <row r="219" spans="3:14" x14ac:dyDescent="0.25">
      <c r="C219" s="50"/>
      <c r="D219" s="50"/>
      <c r="E219" s="50"/>
      <c r="F219" s="50"/>
      <c r="N219" s="49"/>
    </row>
    <row r="220" spans="3:14" x14ac:dyDescent="0.25">
      <c r="C220" s="50"/>
      <c r="D220" s="50"/>
      <c r="E220" s="50"/>
      <c r="F220" s="50"/>
      <c r="N220" s="49"/>
    </row>
    <row r="221" spans="3:14" x14ac:dyDescent="0.25">
      <c r="C221" s="50"/>
      <c r="D221" s="50"/>
      <c r="E221" s="50"/>
      <c r="F221" s="50"/>
      <c r="N221" s="49"/>
    </row>
    <row r="222" spans="3:14" x14ac:dyDescent="0.25">
      <c r="C222" s="50"/>
      <c r="D222" s="50"/>
      <c r="E222" s="50"/>
      <c r="F222" s="50"/>
      <c r="N222" s="49"/>
    </row>
    <row r="223" spans="3:14" x14ac:dyDescent="0.25">
      <c r="C223" s="50"/>
      <c r="D223" s="50"/>
      <c r="E223" s="50"/>
      <c r="F223" s="50"/>
      <c r="N223" s="49"/>
    </row>
    <row r="224" spans="3:14" x14ac:dyDescent="0.25">
      <c r="C224" s="50"/>
      <c r="D224" s="50"/>
      <c r="E224" s="50"/>
      <c r="F224" s="50"/>
      <c r="N224" s="49"/>
    </row>
    <row r="225" spans="3:14" x14ac:dyDescent="0.25">
      <c r="C225" s="50"/>
      <c r="D225" s="50"/>
      <c r="E225" s="50"/>
      <c r="F225" s="50"/>
      <c r="N225" s="49"/>
    </row>
    <row r="226" spans="3:14" x14ac:dyDescent="0.25">
      <c r="N226" s="49"/>
    </row>
    <row r="227" spans="3:14" x14ac:dyDescent="0.25">
      <c r="N227" s="49"/>
    </row>
    <row r="228" spans="3:14" x14ac:dyDescent="0.25">
      <c r="N228" s="49"/>
    </row>
    <row r="229" spans="3:14" x14ac:dyDescent="0.25">
      <c r="N229" s="49"/>
    </row>
    <row r="230" spans="3:14" x14ac:dyDescent="0.25">
      <c r="N230" s="49"/>
    </row>
    <row r="231" spans="3:14" x14ac:dyDescent="0.25">
      <c r="N231" s="49"/>
    </row>
    <row r="232" spans="3:14" x14ac:dyDescent="0.25">
      <c r="N232" s="49"/>
    </row>
    <row r="233" spans="3:14" x14ac:dyDescent="0.25">
      <c r="N233" s="49"/>
    </row>
    <row r="234" spans="3:14" x14ac:dyDescent="0.25">
      <c r="N234" s="49"/>
    </row>
    <row r="235" spans="3:14" x14ac:dyDescent="0.25">
      <c r="N235" s="49"/>
    </row>
    <row r="236" spans="3:14" x14ac:dyDescent="0.25">
      <c r="N236" s="49"/>
    </row>
    <row r="237" spans="3:14" x14ac:dyDescent="0.25">
      <c r="N237" s="49"/>
    </row>
    <row r="238" spans="3:14" x14ac:dyDescent="0.25">
      <c r="N238" s="49"/>
    </row>
    <row r="239" spans="3:14" x14ac:dyDescent="0.25">
      <c r="N239" s="49"/>
    </row>
    <row r="240" spans="3:14" x14ac:dyDescent="0.25">
      <c r="N240" s="49"/>
    </row>
    <row r="241" spans="14:14" x14ac:dyDescent="0.25">
      <c r="N241" s="49"/>
    </row>
    <row r="242" spans="14:14" x14ac:dyDescent="0.25">
      <c r="N242" s="49"/>
    </row>
    <row r="243" spans="14:14" x14ac:dyDescent="0.25">
      <c r="N243" s="49"/>
    </row>
    <row r="244" spans="14:14" x14ac:dyDescent="0.25">
      <c r="N244" s="49"/>
    </row>
    <row r="245" spans="14:14" x14ac:dyDescent="0.25">
      <c r="N245" s="49"/>
    </row>
    <row r="246" spans="14:14" x14ac:dyDescent="0.25">
      <c r="N246" s="49"/>
    </row>
    <row r="247" spans="14:14" x14ac:dyDescent="0.25">
      <c r="N247" s="49"/>
    </row>
    <row r="248" spans="14:14" x14ac:dyDescent="0.25">
      <c r="N248" s="49"/>
    </row>
    <row r="249" spans="14:14" x14ac:dyDescent="0.25">
      <c r="N249" s="49"/>
    </row>
    <row r="250" spans="14:14" x14ac:dyDescent="0.25">
      <c r="N250" s="49"/>
    </row>
    <row r="251" spans="14:14" x14ac:dyDescent="0.25">
      <c r="N251" s="49"/>
    </row>
    <row r="252" spans="14:14" x14ac:dyDescent="0.25">
      <c r="N252" s="49"/>
    </row>
    <row r="253" spans="14:14" x14ac:dyDescent="0.25">
      <c r="N253" s="49"/>
    </row>
    <row r="254" spans="14:14" x14ac:dyDescent="0.25">
      <c r="N254" s="49"/>
    </row>
    <row r="255" spans="14:14" x14ac:dyDescent="0.25">
      <c r="N255" s="49"/>
    </row>
    <row r="256" spans="14:14" x14ac:dyDescent="0.25">
      <c r="N256" s="49"/>
    </row>
    <row r="257" spans="14:14" x14ac:dyDescent="0.25">
      <c r="N257" s="49"/>
    </row>
    <row r="258" spans="14:14" x14ac:dyDescent="0.25">
      <c r="N258" s="49"/>
    </row>
    <row r="259" spans="14:14" x14ac:dyDescent="0.25">
      <c r="N259" s="49"/>
    </row>
    <row r="260" spans="14:14" x14ac:dyDescent="0.25">
      <c r="N260" s="49"/>
    </row>
    <row r="261" spans="14:14" x14ac:dyDescent="0.25">
      <c r="N261" s="49"/>
    </row>
    <row r="262" spans="14:14" x14ac:dyDescent="0.25">
      <c r="N262" s="49"/>
    </row>
    <row r="263" spans="14:14" x14ac:dyDescent="0.25">
      <c r="N263" s="49"/>
    </row>
    <row r="264" spans="14:14" x14ac:dyDescent="0.25">
      <c r="N264" s="49"/>
    </row>
    <row r="265" spans="14:14" x14ac:dyDescent="0.25">
      <c r="N265" s="49"/>
    </row>
    <row r="266" spans="14:14" x14ac:dyDescent="0.25">
      <c r="N266" s="49"/>
    </row>
    <row r="267" spans="14:14" x14ac:dyDescent="0.25">
      <c r="N267" s="49"/>
    </row>
    <row r="268" spans="14:14" x14ac:dyDescent="0.25">
      <c r="N268" s="49"/>
    </row>
    <row r="269" spans="14:14" x14ac:dyDescent="0.25">
      <c r="N269" s="49"/>
    </row>
    <row r="270" spans="14:14" x14ac:dyDescent="0.25">
      <c r="N270" s="49"/>
    </row>
    <row r="271" spans="14:14" x14ac:dyDescent="0.25">
      <c r="N271" s="49"/>
    </row>
    <row r="272" spans="14:14" x14ac:dyDescent="0.25">
      <c r="N272" s="49"/>
    </row>
    <row r="273" spans="14:14" x14ac:dyDescent="0.25">
      <c r="N273" s="49"/>
    </row>
    <row r="274" spans="14:14" x14ac:dyDescent="0.25">
      <c r="N274" s="49"/>
    </row>
    <row r="275" spans="14:14" x14ac:dyDescent="0.25">
      <c r="N275" s="49"/>
    </row>
    <row r="276" spans="14:14" x14ac:dyDescent="0.25">
      <c r="N276" s="49"/>
    </row>
    <row r="277" spans="14:14" x14ac:dyDescent="0.25">
      <c r="N277" s="49"/>
    </row>
    <row r="278" spans="14:14" x14ac:dyDescent="0.25">
      <c r="N278" s="49"/>
    </row>
    <row r="279" spans="14:14" x14ac:dyDescent="0.25">
      <c r="N279" s="49"/>
    </row>
    <row r="280" spans="14:14" x14ac:dyDescent="0.25">
      <c r="N280" s="49"/>
    </row>
    <row r="281" spans="14:14" x14ac:dyDescent="0.25">
      <c r="N281" s="49"/>
    </row>
    <row r="282" spans="14:14" x14ac:dyDescent="0.25">
      <c r="N282" s="49"/>
    </row>
    <row r="283" spans="14:14" x14ac:dyDescent="0.25">
      <c r="N283" s="49"/>
    </row>
    <row r="284" spans="14:14" x14ac:dyDescent="0.25">
      <c r="N284" s="49"/>
    </row>
    <row r="285" spans="14:14" x14ac:dyDescent="0.25">
      <c r="N285" s="49"/>
    </row>
  </sheetData>
  <sheetProtection sheet="1" objects="1" scenarios="1" selectLockedCells="1"/>
  <mergeCells count="8">
    <mergeCell ref="A7:B7"/>
    <mergeCell ref="A10:B10"/>
    <mergeCell ref="E6:M8"/>
    <mergeCell ref="A35:N35"/>
    <mergeCell ref="A34:O34"/>
    <mergeCell ref="K10:P12"/>
    <mergeCell ref="E10:J12"/>
    <mergeCell ref="F27:Q31"/>
  </mergeCells>
  <conditionalFormatting sqref="C30">
    <cfRule type="expression" dxfId="30" priority="31">
      <formula>$C$30&gt;=$E$21</formula>
    </cfRule>
    <cfRule type="expression" dxfId="29" priority="32">
      <formula>$C$30&lt;$E$21</formula>
    </cfRule>
  </conditionalFormatting>
  <conditionalFormatting sqref="C25">
    <cfRule type="expression" dxfId="28" priority="29">
      <formula>C25&gt;=$E$21</formula>
    </cfRule>
    <cfRule type="expression" dxfId="27" priority="30">
      <formula>C25&lt;$E$21</formula>
    </cfRule>
  </conditionalFormatting>
  <conditionalFormatting sqref="C28">
    <cfRule type="expression" dxfId="26" priority="26">
      <formula>C28&gt;=E21</formula>
    </cfRule>
    <cfRule type="expression" dxfId="25" priority="28">
      <formula>C28&lt;$E$21</formula>
    </cfRule>
  </conditionalFormatting>
  <conditionalFormatting sqref="E28">
    <cfRule type="expression" dxfId="9" priority="10">
      <formula>E28=""</formula>
    </cfRule>
    <cfRule type="expression" dxfId="11" priority="11">
      <formula>E28&gt;=$E$21</formula>
    </cfRule>
    <cfRule type="expression" dxfId="10" priority="12">
      <formula>E28&lt;$E$21</formula>
    </cfRule>
  </conditionalFormatting>
  <conditionalFormatting sqref="E30">
    <cfRule type="expression" dxfId="8" priority="7">
      <formula>E30=""</formula>
    </cfRule>
    <cfRule type="expression" dxfId="7" priority="8">
      <formula>E30&gt;=$E$21</formula>
    </cfRule>
    <cfRule type="expression" dxfId="6" priority="9">
      <formula>E30&lt;$E$21</formula>
    </cfRule>
  </conditionalFormatting>
  <conditionalFormatting sqref="E25">
    <cfRule type="expression" dxfId="2" priority="1">
      <formula>E25=""</formula>
    </cfRule>
    <cfRule type="expression" dxfId="1" priority="2">
      <formula>E25&gt;=$E$21</formula>
    </cfRule>
    <cfRule type="expression" dxfId="0" priority="3">
      <formula>E25&lt;$E$21</formula>
    </cfRule>
  </conditionalFormatting>
  <pageMargins left="0.7" right="0.7" top="0.75" bottom="0.75" header="0.3" footer="0.3"/>
  <pageSetup scale="69" fitToHeight="0" orientation="landscape" r:id="rId1"/>
  <ignoredErrors>
    <ignoredError sqref="C28:E28" 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Fluids!$A$25:$A$28</xm:f>
          </x14:formula1>
          <xm:sqref>C7</xm:sqref>
        </x14:dataValidation>
        <x14:dataValidation type="list" allowBlank="1" showInputMessage="1" showErrorMessage="1">
          <x14:formula1>
            <xm:f>Fluids!$A$20:$A$22</xm:f>
          </x14:formula1>
          <xm:sqref>C9:C10</xm:sqref>
        </x14:dataValidation>
        <x14:dataValidation type="list" allowBlank="1" showInputMessage="1" showErrorMessage="1">
          <x14:formula1>
            <xm:f>Fluids!$A$31:$A$33</xm:f>
          </x14:formula1>
          <xm:sqref>E12:I12 C12:C13</xm:sqref>
        </x14:dataValidation>
        <x14:dataValidation type="list" allowBlank="1" showInputMessage="1" showErrorMessage="1">
          <x14:formula1>
            <xm:f>Fluids!$A$6:$A$11</xm:f>
          </x14:formula1>
          <xm:sqref>E22:F22 C22 C17</xm:sqref>
        </x14:dataValidation>
        <x14:dataValidation type="list" allowBlank="1" showInputMessage="1" showErrorMessage="1">
          <x14:formula1>
            <xm:f>Fluids!$A$32:$A$33</xm:f>
          </x14:formula1>
          <xm:sqref>C14</xm:sqref>
        </x14:dataValidation>
        <x14:dataValidation type="list" allowBlank="1" showInputMessage="1" showErrorMessage="1">
          <x14:formula1>
            <xm:f>Fluids!$A$6:$A$10</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6"/>
  <sheetViews>
    <sheetView topLeftCell="A28" workbookViewId="0">
      <selection activeCell="D36" sqref="D36"/>
    </sheetView>
  </sheetViews>
  <sheetFormatPr defaultRowHeight="15" x14ac:dyDescent="0.25"/>
  <cols>
    <col min="1" max="1" width="13.85546875" bestFit="1" customWidth="1"/>
    <col min="8" max="8" width="13.85546875" bestFit="1" customWidth="1"/>
  </cols>
  <sheetData>
    <row r="5" spans="1:17" ht="18.75" x14ac:dyDescent="0.35">
      <c r="A5" t="s">
        <v>0</v>
      </c>
      <c r="B5" s="2" t="s">
        <v>10</v>
      </c>
      <c r="C5" s="6" t="s">
        <v>43</v>
      </c>
      <c r="D5" s="2" t="s">
        <v>8</v>
      </c>
      <c r="E5" s="2" t="s">
        <v>11</v>
      </c>
      <c r="F5" s="12" t="s">
        <v>51</v>
      </c>
      <c r="G5" s="12" t="s">
        <v>52</v>
      </c>
      <c r="M5" s="5" t="s">
        <v>0</v>
      </c>
      <c r="N5" s="6" t="s">
        <v>10</v>
      </c>
      <c r="O5" s="6" t="s">
        <v>43</v>
      </c>
      <c r="P5" s="6" t="s">
        <v>8</v>
      </c>
      <c r="Q5" s="6" t="s">
        <v>11</v>
      </c>
    </row>
    <row r="6" spans="1:17" x14ac:dyDescent="0.25">
      <c r="A6" t="s">
        <v>1</v>
      </c>
      <c r="B6" s="2">
        <v>0.28899999999999998</v>
      </c>
      <c r="C6" s="2">
        <f>4*1.5*B6</f>
        <v>1.734</v>
      </c>
      <c r="D6" s="2">
        <f>26*B6</f>
        <v>7.5139999999999993</v>
      </c>
      <c r="E6" s="2">
        <f>130*B6</f>
        <v>37.57</v>
      </c>
      <c r="F6" s="12">
        <f>0.06</f>
        <v>0.06</v>
      </c>
      <c r="G6" s="4">
        <f t="shared" ref="G6:G11" si="0">ROUNDDOWN(N6/2,2)</f>
        <v>0.14000000000000001</v>
      </c>
      <c r="H6" t="s">
        <v>95</v>
      </c>
      <c r="M6" s="5" t="str">
        <f t="shared" ref="M6:N11" si="1">A6</f>
        <v>Opteon™ XL10</v>
      </c>
      <c r="N6" s="6">
        <f t="shared" si="1"/>
        <v>0.28899999999999998</v>
      </c>
      <c r="O6" s="6">
        <f t="shared" ref="O6:O11" si="2">B6*C6</f>
        <v>0.50112599999999996</v>
      </c>
      <c r="P6" s="6">
        <f t="shared" ref="P6:Q11" si="3">D6</f>
        <v>7.5139999999999993</v>
      </c>
      <c r="Q6" s="6">
        <f t="shared" si="3"/>
        <v>37.57</v>
      </c>
    </row>
    <row r="7" spans="1:17" x14ac:dyDescent="0.25">
      <c r="A7" t="s">
        <v>2</v>
      </c>
      <c r="B7" s="2">
        <v>0.29299999999999998</v>
      </c>
      <c r="C7" s="2">
        <f t="shared" ref="C7:C11" si="4">4*1.5*B7</f>
        <v>1.758</v>
      </c>
      <c r="D7" s="2">
        <f t="shared" ref="D7:D11" si="5">26*B7</f>
        <v>7.6179999999999994</v>
      </c>
      <c r="E7" s="2">
        <f t="shared" ref="E7:E11" si="6">130*B7</f>
        <v>38.089999999999996</v>
      </c>
      <c r="F7" s="12">
        <f t="shared" ref="F7:F10" si="7">0.06</f>
        <v>0.06</v>
      </c>
      <c r="G7" s="4">
        <f t="shared" si="0"/>
        <v>0.14000000000000001</v>
      </c>
      <c r="H7" t="s">
        <v>96</v>
      </c>
      <c r="M7" s="5" t="str">
        <f t="shared" si="1"/>
        <v>Opteon™ XL20</v>
      </c>
      <c r="N7" s="6">
        <f t="shared" si="1"/>
        <v>0.29299999999999998</v>
      </c>
      <c r="O7" s="6">
        <f t="shared" si="2"/>
        <v>0.51509399999999994</v>
      </c>
      <c r="P7" s="6">
        <f t="shared" si="3"/>
        <v>7.6179999999999994</v>
      </c>
      <c r="Q7" s="6">
        <f t="shared" si="3"/>
        <v>38.089999999999996</v>
      </c>
    </row>
    <row r="8" spans="1:17" x14ac:dyDescent="0.25">
      <c r="A8" t="s">
        <v>3</v>
      </c>
      <c r="B8" s="2">
        <v>0.27800000000000002</v>
      </c>
      <c r="C8" s="2">
        <f t="shared" si="4"/>
        <v>1.6680000000000001</v>
      </c>
      <c r="D8" s="2">
        <f t="shared" si="5"/>
        <v>7.2280000000000006</v>
      </c>
      <c r="E8" s="2">
        <f t="shared" si="6"/>
        <v>36.14</v>
      </c>
      <c r="F8" s="12">
        <f t="shared" si="7"/>
        <v>0.06</v>
      </c>
      <c r="G8" s="4">
        <f t="shared" si="0"/>
        <v>0.13</v>
      </c>
      <c r="H8" t="s">
        <v>97</v>
      </c>
      <c r="M8" s="5" t="str">
        <f t="shared" si="1"/>
        <v>Opteon™ XL40</v>
      </c>
      <c r="N8" s="6">
        <f t="shared" si="1"/>
        <v>0.27800000000000002</v>
      </c>
      <c r="O8" s="6">
        <f t="shared" si="2"/>
        <v>0.46370400000000006</v>
      </c>
      <c r="P8" s="6">
        <f t="shared" si="3"/>
        <v>7.2280000000000006</v>
      </c>
      <c r="Q8" s="6">
        <f t="shared" si="3"/>
        <v>36.14</v>
      </c>
    </row>
    <row r="9" spans="1:17" x14ac:dyDescent="0.25">
      <c r="A9" t="s">
        <v>4</v>
      </c>
      <c r="B9" s="2">
        <v>0.30299999999999999</v>
      </c>
      <c r="C9" s="2">
        <f t="shared" si="4"/>
        <v>1.8180000000000001</v>
      </c>
      <c r="D9" s="2">
        <f t="shared" si="5"/>
        <v>7.8780000000000001</v>
      </c>
      <c r="E9" s="2">
        <f t="shared" si="6"/>
        <v>39.39</v>
      </c>
      <c r="F9" s="12">
        <f t="shared" si="7"/>
        <v>0.06</v>
      </c>
      <c r="G9" s="4">
        <f t="shared" si="0"/>
        <v>0.15</v>
      </c>
      <c r="H9" t="s">
        <v>98</v>
      </c>
      <c r="M9" s="5" t="str">
        <f t="shared" si="1"/>
        <v>Opteon™ XL41</v>
      </c>
      <c r="N9" s="6">
        <f t="shared" si="1"/>
        <v>0.30299999999999999</v>
      </c>
      <c r="O9" s="6">
        <f t="shared" si="2"/>
        <v>0.55085399999999995</v>
      </c>
      <c r="P9" s="6">
        <f t="shared" si="3"/>
        <v>7.8780000000000001</v>
      </c>
      <c r="Q9" s="6">
        <f t="shared" si="3"/>
        <v>39.39</v>
      </c>
    </row>
    <row r="10" spans="1:17" x14ac:dyDescent="0.25">
      <c r="A10" t="s">
        <v>5</v>
      </c>
      <c r="B10" s="2">
        <v>0.31</v>
      </c>
      <c r="C10" s="2">
        <f t="shared" si="4"/>
        <v>1.8599999999999999</v>
      </c>
      <c r="D10" s="2">
        <f t="shared" si="5"/>
        <v>8.06</v>
      </c>
      <c r="E10" s="2">
        <f t="shared" si="6"/>
        <v>40.299999999999997</v>
      </c>
      <c r="F10" s="12">
        <f t="shared" si="7"/>
        <v>0.06</v>
      </c>
      <c r="G10" s="4">
        <f t="shared" si="0"/>
        <v>0.15</v>
      </c>
      <c r="H10" t="s">
        <v>99</v>
      </c>
      <c r="M10" s="5" t="str">
        <f t="shared" si="1"/>
        <v>Opteon™ XL55</v>
      </c>
      <c r="N10" s="6">
        <f t="shared" si="1"/>
        <v>0.31</v>
      </c>
      <c r="O10" s="6">
        <f t="shared" si="2"/>
        <v>0.5766</v>
      </c>
      <c r="P10" s="6">
        <f t="shared" si="3"/>
        <v>8.06</v>
      </c>
      <c r="Q10" s="6">
        <f t="shared" si="3"/>
        <v>40.299999999999997</v>
      </c>
    </row>
    <row r="11" spans="1:17" x14ac:dyDescent="0.25">
      <c r="A11" t="s">
        <v>36</v>
      </c>
      <c r="B11" s="2">
        <v>0.307</v>
      </c>
      <c r="C11" s="2">
        <f t="shared" si="4"/>
        <v>1.8420000000000001</v>
      </c>
      <c r="D11" s="2">
        <f t="shared" si="5"/>
        <v>7.9820000000000002</v>
      </c>
      <c r="E11" s="2">
        <f t="shared" si="6"/>
        <v>39.909999999999997</v>
      </c>
      <c r="F11" s="2">
        <v>6.3E-2</v>
      </c>
      <c r="G11" s="4">
        <f t="shared" si="0"/>
        <v>0.15</v>
      </c>
      <c r="M11" s="5" t="str">
        <f t="shared" si="1"/>
        <v>R32</v>
      </c>
      <c r="N11" s="6">
        <f t="shared" si="1"/>
        <v>0.307</v>
      </c>
      <c r="O11" s="6">
        <f t="shared" si="2"/>
        <v>0.56549400000000005</v>
      </c>
      <c r="P11" s="6">
        <f t="shared" si="3"/>
        <v>7.9820000000000002</v>
      </c>
      <c r="Q11" s="6">
        <f t="shared" si="3"/>
        <v>39.909999999999997</v>
      </c>
    </row>
    <row r="12" spans="1:17" x14ac:dyDescent="0.25">
      <c r="D12" s="2"/>
      <c r="E12" s="2"/>
    </row>
    <row r="13" spans="1:17" x14ac:dyDescent="0.25">
      <c r="A13" t="s">
        <v>6</v>
      </c>
      <c r="B13" s="2">
        <f>0.15/4</f>
        <v>3.7499999999999999E-2</v>
      </c>
      <c r="C13" s="2">
        <v>4</v>
      </c>
    </row>
    <row r="14" spans="1:17" x14ac:dyDescent="0.25">
      <c r="A14" t="s">
        <v>7</v>
      </c>
      <c r="B14" s="2">
        <v>0.13</v>
      </c>
      <c r="C14" s="2">
        <v>4</v>
      </c>
    </row>
    <row r="20" spans="1:18" ht="96" customHeight="1" x14ac:dyDescent="0.25">
      <c r="A20" s="3" t="s">
        <v>13</v>
      </c>
      <c r="B20" s="84" t="s">
        <v>31</v>
      </c>
      <c r="C20" s="84"/>
      <c r="D20" s="84"/>
      <c r="E20" s="84"/>
      <c r="F20" s="84"/>
      <c r="G20" s="84"/>
      <c r="H20" s="84"/>
      <c r="I20" s="84"/>
      <c r="K20" s="84" t="s">
        <v>12</v>
      </c>
      <c r="L20" s="84"/>
      <c r="M20" s="84"/>
      <c r="N20" s="84"/>
      <c r="O20" s="84"/>
      <c r="P20" s="84"/>
      <c r="Q20" s="84"/>
      <c r="R20" s="84"/>
    </row>
    <row r="21" spans="1:18" ht="96" customHeight="1" x14ac:dyDescent="0.25">
      <c r="A21" s="3" t="s">
        <v>14</v>
      </c>
      <c r="B21" s="84" t="s">
        <v>16</v>
      </c>
      <c r="C21" s="84"/>
      <c r="D21" s="84"/>
      <c r="E21" s="84"/>
      <c r="F21" s="84"/>
      <c r="G21" s="84"/>
      <c r="H21" s="84"/>
      <c r="I21" s="84"/>
      <c r="K21" s="84" t="s">
        <v>17</v>
      </c>
      <c r="L21" s="84"/>
      <c r="M21" s="84"/>
      <c r="N21" s="84"/>
      <c r="O21" s="84"/>
      <c r="P21" s="84"/>
      <c r="Q21" s="84"/>
      <c r="R21" s="84"/>
    </row>
    <row r="22" spans="1:18" ht="96" customHeight="1" x14ac:dyDescent="0.25">
      <c r="A22" s="3" t="s">
        <v>15</v>
      </c>
      <c r="B22" s="84" t="s">
        <v>18</v>
      </c>
      <c r="C22" s="84"/>
      <c r="D22" s="84"/>
      <c r="E22" s="84"/>
      <c r="F22" s="84"/>
      <c r="G22" s="84"/>
      <c r="H22" s="84"/>
      <c r="I22" s="84"/>
      <c r="K22" s="84" t="s">
        <v>19</v>
      </c>
      <c r="L22" s="84"/>
      <c r="M22" s="84"/>
      <c r="N22" s="84"/>
      <c r="O22" s="84"/>
      <c r="P22" s="84"/>
      <c r="Q22" s="84"/>
      <c r="R22" s="84"/>
    </row>
    <row r="25" spans="1:18" ht="80.25" customHeight="1" x14ac:dyDescent="0.25">
      <c r="A25" s="3" t="s">
        <v>21</v>
      </c>
      <c r="B25" s="84" t="s">
        <v>30</v>
      </c>
      <c r="C25" s="84"/>
      <c r="D25" s="84"/>
      <c r="E25" s="84"/>
      <c r="F25" s="84"/>
      <c r="G25" s="84"/>
      <c r="H25" s="84"/>
      <c r="I25" s="84"/>
      <c r="J25" t="s">
        <v>79</v>
      </c>
      <c r="K25" s="85"/>
      <c r="L25" s="85"/>
      <c r="M25" s="85"/>
      <c r="N25" s="85"/>
      <c r="O25" s="85"/>
      <c r="P25" s="85"/>
      <c r="Q25" s="85"/>
      <c r="R25" s="85"/>
    </row>
    <row r="26" spans="1:18" ht="80.25" customHeight="1" x14ac:dyDescent="0.25">
      <c r="A26" s="3" t="s">
        <v>22</v>
      </c>
      <c r="B26" s="84" t="s">
        <v>20</v>
      </c>
      <c r="C26" s="84"/>
      <c r="D26" s="84"/>
      <c r="E26" s="84"/>
      <c r="F26" s="84"/>
      <c r="G26" s="84"/>
      <c r="H26" s="84"/>
      <c r="I26" s="84"/>
      <c r="J26" t="s">
        <v>80</v>
      </c>
      <c r="K26" s="85"/>
      <c r="L26" s="85"/>
      <c r="M26" s="85"/>
      <c r="N26" s="85"/>
      <c r="O26" s="85"/>
      <c r="P26" s="85"/>
      <c r="Q26" s="85"/>
      <c r="R26" s="85"/>
    </row>
    <row r="27" spans="1:18" ht="80.25" customHeight="1" x14ac:dyDescent="0.25">
      <c r="A27" s="3" t="s">
        <v>23</v>
      </c>
      <c r="B27" s="84" t="s">
        <v>24</v>
      </c>
      <c r="C27" s="84"/>
      <c r="D27" s="84"/>
      <c r="E27" s="84"/>
      <c r="F27" s="84"/>
      <c r="G27" s="84"/>
      <c r="H27" s="84"/>
      <c r="I27" s="84"/>
      <c r="J27" t="s">
        <v>81</v>
      </c>
      <c r="K27" s="85"/>
      <c r="L27" s="85"/>
      <c r="M27" s="85"/>
      <c r="N27" s="85"/>
      <c r="O27" s="85"/>
      <c r="P27" s="85"/>
      <c r="Q27" s="85"/>
      <c r="R27" s="85"/>
    </row>
    <row r="28" spans="1:18" ht="80.25" customHeight="1" x14ac:dyDescent="0.25">
      <c r="A28" s="3" t="s">
        <v>35</v>
      </c>
      <c r="B28" s="84" t="s">
        <v>25</v>
      </c>
      <c r="C28" s="84"/>
      <c r="D28" s="84"/>
      <c r="E28" s="84"/>
      <c r="F28" s="84"/>
      <c r="G28" s="84"/>
      <c r="H28" s="84"/>
      <c r="I28" s="84"/>
      <c r="J28" t="s">
        <v>82</v>
      </c>
      <c r="K28" s="85"/>
      <c r="L28" s="85"/>
      <c r="M28" s="85"/>
      <c r="N28" s="85"/>
      <c r="O28" s="85"/>
      <c r="P28" s="85"/>
      <c r="Q28" s="85"/>
      <c r="R28" s="85"/>
    </row>
    <row r="31" spans="1:18" x14ac:dyDescent="0.25">
      <c r="A31" s="7" t="s">
        <v>26</v>
      </c>
    </row>
    <row r="32" spans="1:18" x14ac:dyDescent="0.25">
      <c r="A32" s="7" t="s">
        <v>27</v>
      </c>
    </row>
    <row r="33" spans="1:5" x14ac:dyDescent="0.25">
      <c r="A33" t="s">
        <v>78</v>
      </c>
    </row>
    <row r="35" spans="1:5" x14ac:dyDescent="0.25">
      <c r="A35" s="2" t="s">
        <v>84</v>
      </c>
      <c r="B35" s="83" t="s">
        <v>83</v>
      </c>
      <c r="C35" s="83"/>
    </row>
    <row r="36" spans="1:5" x14ac:dyDescent="0.25">
      <c r="A36" s="2" t="str">
        <f>VLOOKUP('Non Human Comfort- Above Ground'!$C$7,Fluids!$A$25:$J$28,10,FALSE)</f>
        <v>II</v>
      </c>
      <c r="B36" s="2" t="str">
        <f>IF(AND(OR(A36="I",A36="II"),'Non Human Comfort- Above Ground'!C14=Fluids!A32),"OA",IF(AND(OR(A36="I",A36="II"),'Non Human Comfort- Above Ground'!C14=Fluids!A33),"LO",""))</f>
        <v>OA</v>
      </c>
      <c r="C36" s="2" t="str">
        <f>'Non Human Comfort- Above Ground'!C10</f>
        <v>c</v>
      </c>
      <c r="D36" t="str">
        <f>B36&amp;C36&amp;A36</f>
        <v>OAcII</v>
      </c>
      <c r="E36" t="s">
        <v>102</v>
      </c>
    </row>
  </sheetData>
  <sheetProtection sheet="1" objects="1" scenarios="1" selectLockedCells="1"/>
  <mergeCells count="15">
    <mergeCell ref="B35:C35"/>
    <mergeCell ref="B20:I20"/>
    <mergeCell ref="K20:R20"/>
    <mergeCell ref="B21:I21"/>
    <mergeCell ref="K21:R21"/>
    <mergeCell ref="B22:I22"/>
    <mergeCell ref="K22:R22"/>
    <mergeCell ref="B28:I28"/>
    <mergeCell ref="K28:R28"/>
    <mergeCell ref="B25:I25"/>
    <mergeCell ref="K25:R25"/>
    <mergeCell ref="B26:I26"/>
    <mergeCell ref="K26:R26"/>
    <mergeCell ref="B27:I27"/>
    <mergeCell ref="K27:R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3"/>
  <sheetViews>
    <sheetView topLeftCell="O1" workbookViewId="0">
      <selection activeCell="D36" sqref="D36"/>
    </sheetView>
  </sheetViews>
  <sheetFormatPr defaultRowHeight="15" x14ac:dyDescent="0.25"/>
  <cols>
    <col min="1" max="1" width="14.28515625" bestFit="1" customWidth="1"/>
    <col min="2" max="2" width="14.28515625" customWidth="1"/>
    <col min="3" max="3" width="14.7109375" style="2" customWidth="1"/>
    <col min="6" max="6" width="12" bestFit="1" customWidth="1"/>
    <col min="10" max="11" width="10.5703125" bestFit="1" customWidth="1"/>
    <col min="13" max="13" width="11.140625" bestFit="1" customWidth="1"/>
    <col min="14" max="14" width="10.7109375" bestFit="1" customWidth="1"/>
    <col min="16" max="16" width="11.140625" bestFit="1" customWidth="1"/>
    <col min="17" max="17" width="10.7109375" bestFit="1" customWidth="1"/>
    <col min="19" max="19" width="10.7109375" bestFit="1" customWidth="1"/>
    <col min="20" max="20" width="10.28515625" bestFit="1" customWidth="1"/>
    <col min="22" max="22" width="10.7109375" bestFit="1" customWidth="1"/>
    <col min="23" max="23" width="10.28515625" bestFit="1" customWidth="1"/>
    <col min="25" max="25" width="11.28515625" bestFit="1" customWidth="1"/>
    <col min="26" max="26" width="10.85546875" bestFit="1" customWidth="1"/>
    <col min="27" max="27" width="7.28515625" bestFit="1" customWidth="1"/>
    <col min="28" max="28" width="10.28515625" bestFit="1" customWidth="1"/>
    <col min="29" max="29" width="10" bestFit="1" customWidth="1"/>
    <col min="30" max="33" width="20.42578125" bestFit="1" customWidth="1"/>
  </cols>
  <sheetData>
    <row r="1" spans="1:36" x14ac:dyDescent="0.25">
      <c r="B1" s="9">
        <v>2</v>
      </c>
      <c r="C1" s="2">
        <v>3</v>
      </c>
      <c r="D1" s="2">
        <v>4</v>
      </c>
      <c r="E1" s="2">
        <v>5</v>
      </c>
      <c r="F1" s="2"/>
      <c r="G1" s="2">
        <v>6</v>
      </c>
      <c r="H1" s="2">
        <v>7</v>
      </c>
    </row>
    <row r="3" spans="1:36" s="15" customFormat="1" ht="30" x14ac:dyDescent="0.25">
      <c r="A3" s="3" t="s">
        <v>9</v>
      </c>
      <c r="B3" s="1" t="s">
        <v>89</v>
      </c>
      <c r="C3" s="1" t="s">
        <v>90</v>
      </c>
    </row>
    <row r="4" spans="1:36" x14ac:dyDescent="0.25">
      <c r="B4" s="2"/>
      <c r="D4" s="2"/>
    </row>
    <row r="5" spans="1:36" x14ac:dyDescent="0.25">
      <c r="A5" s="13">
        <f>'Non Human Comfort- Above Ground'!G19</f>
        <v>50</v>
      </c>
      <c r="B5" s="14">
        <f>'Non Human Comfort- Above Ground'!E19*'Non Human Comfort- Above Ground'!G18</f>
        <v>25</v>
      </c>
      <c r="C5" s="13">
        <f>IF(250*'Non Human Comfort- Above Ground'!E18&lt;Room_Volume,250*'Non Human Comfort- Above Ground'!E18,Room_Volume)</f>
        <v>50</v>
      </c>
    </row>
    <row r="6" spans="1:36" x14ac:dyDescent="0.25">
      <c r="A6" s="2"/>
      <c r="B6" s="4"/>
    </row>
    <row r="7" spans="1:36" x14ac:dyDescent="0.25">
      <c r="A7" s="2"/>
    </row>
    <row r="8" spans="1:36" ht="18.75" x14ac:dyDescent="0.35">
      <c r="A8" s="2" t="s">
        <v>44</v>
      </c>
      <c r="B8" s="8" t="s">
        <v>10</v>
      </c>
      <c r="C8" s="8" t="s">
        <v>43</v>
      </c>
      <c r="D8" s="8" t="s">
        <v>8</v>
      </c>
      <c r="E8" s="8" t="s">
        <v>11</v>
      </c>
      <c r="F8" s="8" t="s">
        <v>53</v>
      </c>
      <c r="G8" s="8" t="s">
        <v>51</v>
      </c>
      <c r="H8" s="8" t="s">
        <v>52</v>
      </c>
      <c r="I8" s="11" t="s">
        <v>45</v>
      </c>
      <c r="J8" s="11" t="s">
        <v>49</v>
      </c>
      <c r="K8" s="11" t="s">
        <v>50</v>
      </c>
      <c r="L8" s="11" t="s">
        <v>46</v>
      </c>
      <c r="M8" s="11" t="s">
        <v>54</v>
      </c>
      <c r="N8" s="11" t="s">
        <v>55</v>
      </c>
      <c r="O8" s="11" t="s">
        <v>47</v>
      </c>
      <c r="P8" s="11" t="s">
        <v>56</v>
      </c>
      <c r="Q8" s="11" t="s">
        <v>57</v>
      </c>
      <c r="R8" s="11" t="s">
        <v>48</v>
      </c>
      <c r="S8" s="11" t="s">
        <v>58</v>
      </c>
      <c r="T8" s="11" t="s">
        <v>59</v>
      </c>
      <c r="U8" s="11" t="s">
        <v>60</v>
      </c>
      <c r="V8" s="11" t="s">
        <v>61</v>
      </c>
      <c r="W8" s="11" t="s">
        <v>62</v>
      </c>
      <c r="X8" s="11" t="s">
        <v>63</v>
      </c>
      <c r="Y8" s="11" t="s">
        <v>64</v>
      </c>
      <c r="Z8" s="11" t="s">
        <v>65</v>
      </c>
      <c r="AA8" s="11" t="s">
        <v>66</v>
      </c>
      <c r="AB8" s="11" t="s">
        <v>67</v>
      </c>
      <c r="AC8" s="11" t="s">
        <v>68</v>
      </c>
      <c r="AD8" s="11" t="s">
        <v>69</v>
      </c>
      <c r="AE8" s="11" t="s">
        <v>73</v>
      </c>
      <c r="AF8" s="11" t="s">
        <v>71</v>
      </c>
      <c r="AG8" s="11" t="s">
        <v>72</v>
      </c>
      <c r="AH8" s="11" t="s">
        <v>74</v>
      </c>
      <c r="AI8" s="11" t="s">
        <v>75</v>
      </c>
      <c r="AJ8" s="11" t="s">
        <v>76</v>
      </c>
    </row>
    <row r="9" spans="1:36" s="2" customFormat="1" x14ac:dyDescent="0.25">
      <c r="A9" s="2" t="str">
        <f>'Non Human Comfort- Above Ground'!C16</f>
        <v>Opteon™ XL40</v>
      </c>
      <c r="B9" s="10">
        <f>VLOOKUP($A9,Fluids!$A$6:$G$11,Calculations!B$1,FALSE)</f>
        <v>0.27800000000000002</v>
      </c>
      <c r="C9" s="10">
        <f>VLOOKUP($A9,Fluids!$A$6:$G$11,Calculations!C$1,FALSE)</f>
        <v>1.6680000000000001</v>
      </c>
      <c r="D9" s="10">
        <f>VLOOKUP($A9,Fluids!$A$6:$G$11,Calculations!D$1,FALSE)</f>
        <v>7.2280000000000006</v>
      </c>
      <c r="E9" s="10">
        <f>VLOOKUP($A9,Fluids!$A$6:$G$11,Calculations!E$1,FALSE)</f>
        <v>36.14</v>
      </c>
      <c r="F9" s="10">
        <f>B9*A5*0.2</f>
        <v>2.7800000000000007</v>
      </c>
      <c r="G9" s="10">
        <f>VLOOKUP($A9,Fluids!$A$6:$G$11,Calculations!G$1,FALSE)</f>
        <v>0.06</v>
      </c>
      <c r="H9" s="10">
        <f>VLOOKUP($A9,Fluids!$A$6:$G$11,Calculations!H$1,FALSE)</f>
        <v>0.13</v>
      </c>
      <c r="I9" s="10">
        <f>IF(ROUNDDOWN(IF(_20__LFL_x_RV&gt;m2a*1.5,m2a*1.5,_20__LFL_x_RV),3)&lt;m1_,m1_,ROUNDDOWN(IF(_20__LFL_x_RV&gt;m2a*1.5,m2a*1.5,_20__LFL_x_RV),3))</f>
        <v>2.78</v>
      </c>
      <c r="J9" s="10">
        <f>OAaIC1</f>
        <v>2.78</v>
      </c>
      <c r="K9" s="10">
        <f>OAaIC1</f>
        <v>2.78</v>
      </c>
      <c r="L9" s="10">
        <f>IF(ROUNDDOWN(IF(_20__LFL_x_RV&gt;m2a*1.5,m2a*1.5,_20__LFL_x_RV),3)&lt;m1_,m1_,ROUNDDOWN(IF(_20__LFL_x_RV&gt;m2a*1.5,m2a*1.5,_20__LFL_x_RV),3))</f>
        <v>2.78</v>
      </c>
      <c r="M9" s="10">
        <f>IF(ROUNDDOWN(IF(QLMV*QL_Calc_Room_Size&gt;m3b*1.5,m3b*1.5,QLMV*QL_Calc_Room_Size),3)&lt;m1_,m1_,ROUNDDOWN(IF(QLMV*QL_Calc_Room_Size&gt;m3b*1.5,m3b*1.5,QLMV*QL_Calc_Room_Size),3))</f>
        <v>3</v>
      </c>
      <c r="N9" s="10">
        <f>IF(ROUNDDOWN(IF(QLAV*QL_Calc_Room_Size&gt;m3b*1.5,m3b*1.5,QLAV*QL_Calc_Room_Size),3)&lt;m1_,m1_,ROUNDDOWN(IF(QLAV*QL_Calc_Room_Size&gt;m3b*1.5,m3b*1.5,QLAV*QL_Calc_Room_Size),3))</f>
        <v>6.5</v>
      </c>
      <c r="O9" s="2">
        <f>IF(IF(_20__LFL_x_RV&gt;m2a*1.5,m2a*1.5,_20__LFL_x_RV)&lt;m1_,m1_,IF(_20__LFL_x_RV&gt;m2a*1.5,m2a*1.5,_20__LFL_x_RV))</f>
        <v>2.7800000000000007</v>
      </c>
      <c r="P9" s="10">
        <f>OAbIC1</f>
        <v>2.7800000000000007</v>
      </c>
      <c r="Q9" s="10">
        <f>OAbIC1</f>
        <v>2.7800000000000007</v>
      </c>
      <c r="R9" s="2">
        <f>IF(IF(_20__LFL_x_RV&lt;=25,_20__LFL_x_RV,25)&lt;m1_,m1_,IF(_20__LFL_x_RV&lt;=25,_20__LFL_x_RV,25))</f>
        <v>2.7800000000000007</v>
      </c>
      <c r="S9" s="10">
        <f>IF(ROUNDDOWN(IF(QLMV*QL_Calc_Room_Size&gt;m3b*1.5,m3b*1.5,QLMV*QL_Calc_Room_Size),3)&lt;m1_,m1_,ROUNDDOWN(IF(QLMV*QL_Calc_Room_Size&gt;m3b*1.5,m3b*1.5,QLMV*QL_Calc_Room_Size),3))</f>
        <v>3</v>
      </c>
      <c r="T9" s="10">
        <f>IF(ROUNDDOWN(IF(QLAV*QL_Calc_Room_Size&gt;m3b*1.5,m3b*1.5,QLAV*QL_Calc_Room_Size),3)&lt;m1_,m1_,ROUNDDOWN(IF(QLAV*QL_Calc_Room_Size&gt;m3b*1.5,m3b*1.5,QLAV*QL_Calc_Room_Size),3))</f>
        <v>6.5</v>
      </c>
      <c r="U9" s="2">
        <f>IF(IF(_20__LFL_x_RV&gt;m2a*1.5,m2a*1.5,_20__LFL_x_RV)&lt;m1_,m1_,IF(_20__LFL_x_RV&gt;m2a*1.5,m2a*1.5,_20__LFL_x_RV))</f>
        <v>2.7800000000000007</v>
      </c>
      <c r="V9" s="10">
        <f>OAcIC1</f>
        <v>2.7800000000000007</v>
      </c>
      <c r="W9" s="10">
        <f>OAcIC1</f>
        <v>2.7800000000000007</v>
      </c>
      <c r="X9" s="2">
        <f>IF(IF(_20__LFL_x_RV&lt;=25,_20__LFL_x_RV,25)&lt;m1_,m1_,IF(_20__LFL_x_RV&lt;=25,_20__LFL_x_RV,25))</f>
        <v>2.7800000000000007</v>
      </c>
      <c r="Y9" s="10">
        <f>IF(ROUNDDOWN(IF(QLMV*QL_Calc_Room_Size&gt;m3b*1.5,m3b*1.5,QLMV*QL_Calc_Room_Size),3)&lt;m1_,m1_,ROUNDDOWN(IF(QLMV*QL_Calc_Room_Size&gt;m3b*1.5,m3b*1.5,QLMV*QL_Calc_Room_Size),3))</f>
        <v>3</v>
      </c>
      <c r="Z9" s="10">
        <f>IF(ROUNDDOWN(IF(QLAV*QL_Calc_Room_Size&gt;m3b*1.5,m3b*1.5,QLAV*QL_Calc_Room_Size),3)&lt;m1_,m1_,ROUNDDOWN(IF(QLAV*QL_Calc_Room_Size&gt;m3b*1.5,m3b*1.5,QLAV*QL_Calc_Room_Size),3))</f>
        <v>6.5</v>
      </c>
      <c r="AA9" s="2">
        <f>IF(IF(_20__LFL_x_RV&lt;=50,_20__LFL_x_RV,50)&lt;m1_,m1_,IF(_20__LFL_x_RV&lt;=50,_20__LFL_x_RV,50))</f>
        <v>2.7800000000000007</v>
      </c>
      <c r="AB9" s="10">
        <f>LOcIC1</f>
        <v>2.7800000000000007</v>
      </c>
      <c r="AC9" s="10">
        <f>LOcIC1</f>
        <v>2.7800000000000007</v>
      </c>
      <c r="AD9" s="2" t="s">
        <v>70</v>
      </c>
      <c r="AE9" s="2" t="s">
        <v>70</v>
      </c>
      <c r="AF9" s="2" t="s">
        <v>70</v>
      </c>
      <c r="AG9" s="2" t="s">
        <v>70</v>
      </c>
      <c r="AH9" s="2">
        <f>m3b*1.5</f>
        <v>54.21</v>
      </c>
      <c r="AI9" s="2">
        <f>m3b*1.5</f>
        <v>54.21</v>
      </c>
      <c r="AJ9" s="2">
        <f>m3b*1.5</f>
        <v>54.21</v>
      </c>
    </row>
    <row r="10" spans="1:36" x14ac:dyDescent="0.25">
      <c r="A10" s="2"/>
      <c r="B10" s="4"/>
      <c r="I10">
        <f>_20__LFL_x_RV</f>
        <v>2.7800000000000007</v>
      </c>
      <c r="J10" s="69">
        <f>_20__LFL_x_RV</f>
        <v>2.7800000000000007</v>
      </c>
      <c r="K10" s="69">
        <f>_20__LFL_x_RV</f>
        <v>2.7800000000000007</v>
      </c>
      <c r="L10">
        <f>_20__LFL_x_RV</f>
        <v>2.7800000000000007</v>
      </c>
      <c r="M10" s="10">
        <f>IF(ROUNDDOWN(IF(QLMV*QL_Calc_Room_Size&gt;m3b*1.5,m3b*1.5,QLMV*QL_Calc_Room_Size),3)&lt;m1_,QLMV*QL_Calc_Room_Size,ROUNDDOWN(IF(QLMV*QL_Calc_Room_Size&gt;m3b*1.5,m3b*1.5,QLMV*QL_Calc_Room_Size),3))</f>
        <v>3</v>
      </c>
      <c r="N10" s="10">
        <f>IF(ROUNDDOWN(IF(QLAV*QL_Calc_Room_Size&gt;m3b*1.5,m3b*1.5,QLAV*QL_Calc_Room_Size),3)&lt;m1_,QLAV*QL_Calc_Room_Size,ROUNDDOWN(IF(QLAV*QL_Calc_Room_Size&gt;m3b*1.5,m3b*1.5,QLAV*QL_Calc_Room_Size),3))</f>
        <v>6.5</v>
      </c>
      <c r="O10">
        <f>_20__LFL_x_RV</f>
        <v>2.7800000000000007</v>
      </c>
      <c r="P10" s="69">
        <f>_20__LFL_x_RV</f>
        <v>2.7800000000000007</v>
      </c>
      <c r="Q10" s="69">
        <f>_20__LFL_x_RV</f>
        <v>2.7800000000000007</v>
      </c>
      <c r="R10">
        <f>_20__LFL_x_RV</f>
        <v>2.7800000000000007</v>
      </c>
      <c r="S10" s="10">
        <f>IF(ROUNDDOWN(IF(QLMV*QL_Calc_Room_Size&gt;m3b*1.5,m3b*1.5,QLMV*QL_Calc_Room_Size),3)&lt;m1_,QLMV*QL_Calc_Room_Size,ROUNDDOWN(IF(QLMV*QL_Calc_Room_Size&gt;m3b*1.5,m3b*1.5,QLMV*QL_Calc_Room_Size),3))</f>
        <v>3</v>
      </c>
      <c r="T10" s="10">
        <f>IF(ROUNDDOWN(IF(QLAV*QL_Calc_Room_Size&gt;m3b*1.5,m3b*1.5,QLAV*QL_Calc_Room_Size),3)&lt;m1_,QLAV*QL_Calc_Room_Size,ROUNDDOWN(IF(QLAV*QL_Calc_Room_Size&gt;m3b*1.5,m3b*1.5,QLAV*QL_Calc_Room_Size),3))</f>
        <v>6.5</v>
      </c>
      <c r="U10">
        <f>_20__LFL_x_RV</f>
        <v>2.7800000000000007</v>
      </c>
      <c r="V10" s="69">
        <f>_20__LFL_x_RV</f>
        <v>2.7800000000000007</v>
      </c>
      <c r="W10" s="69">
        <f>_20__LFL_x_RV</f>
        <v>2.7800000000000007</v>
      </c>
      <c r="X10">
        <f>_20__LFL_x_RV</f>
        <v>2.7800000000000007</v>
      </c>
      <c r="Y10" s="10">
        <f>IF(ROUNDDOWN(IF(QLMV*QL_Calc_Room_Size&gt;m3b*1.5,m3b*1.5,QLMV*QL_Calc_Room_Size),3)&lt;m1_,QLMV*QL_Calc_Room_Size,ROUNDDOWN(IF(QLMV*QL_Calc_Room_Size&gt;m3b*1.5,m3b*1.5,QLMV*QL_Calc_Room_Size),3))</f>
        <v>3</v>
      </c>
      <c r="Z10" s="10">
        <f>IF(ROUNDDOWN(IF(QLAV*QL_Calc_Room_Size&gt;m3b*1.5,m3b*1.5,QLAV*QL_Calc_Room_Size),3)&lt;m1_,QLAV*QL_Calc_Room_Size,ROUNDDOWN(IF(QLAV*QL_Calc_Room_Size&gt;m3b*1.5,m3b*1.5,QLAV*QL_Calc_Room_Size),3))</f>
        <v>6.5</v>
      </c>
      <c r="AA10">
        <f>_20__LFL_x_RV</f>
        <v>2.7800000000000007</v>
      </c>
      <c r="AB10" s="69">
        <f>_20__LFL_x_RV</f>
        <v>2.7800000000000007</v>
      </c>
      <c r="AC10" s="69">
        <f>_20__LFL_x_RV</f>
        <v>2.7800000000000007</v>
      </c>
      <c r="AD10" s="69" t="s">
        <v>70</v>
      </c>
      <c r="AH10">
        <f>aIV</f>
        <v>54.21</v>
      </c>
      <c r="AI10">
        <f>bIV</f>
        <v>54.21</v>
      </c>
      <c r="AJ10">
        <f>cIV</f>
        <v>54.21</v>
      </c>
    </row>
    <row r="11" spans="1:36" x14ac:dyDescent="0.25">
      <c r="A11" s="2"/>
      <c r="B11" s="4"/>
    </row>
    <row r="12" spans="1:36" x14ac:dyDescent="0.25">
      <c r="A12" s="2"/>
      <c r="B12" s="4"/>
    </row>
    <row r="13" spans="1:36" x14ac:dyDescent="0.25">
      <c r="A13" s="2"/>
      <c r="B13" s="4"/>
    </row>
    <row r="14" spans="1:36" x14ac:dyDescent="0.25">
      <c r="A14" s="2"/>
      <c r="B14" s="4"/>
    </row>
    <row r="15" spans="1:36" x14ac:dyDescent="0.25">
      <c r="A15" s="2"/>
      <c r="B15" s="4"/>
    </row>
    <row r="16" spans="1:36" x14ac:dyDescent="0.25">
      <c r="A16" s="2"/>
      <c r="B16" s="4"/>
    </row>
    <row r="17" spans="1:2" x14ac:dyDescent="0.25">
      <c r="A17" s="2"/>
      <c r="B17" s="4"/>
    </row>
    <row r="18" spans="1:2" x14ac:dyDescent="0.25">
      <c r="A18" s="2"/>
      <c r="B18" s="4"/>
    </row>
    <row r="19" spans="1:2" x14ac:dyDescent="0.25">
      <c r="A19" s="2"/>
      <c r="B19" s="4"/>
    </row>
    <row r="20" spans="1:2" x14ac:dyDescent="0.25">
      <c r="A20" s="2"/>
      <c r="B20" s="4"/>
    </row>
    <row r="21" spans="1:2" x14ac:dyDescent="0.25">
      <c r="A21" s="2"/>
      <c r="B21" s="4"/>
    </row>
    <row r="22" spans="1:2" x14ac:dyDescent="0.25">
      <c r="A22" s="2"/>
      <c r="B22" s="4"/>
    </row>
    <row r="23" spans="1:2" x14ac:dyDescent="0.25">
      <c r="A23" s="2"/>
      <c r="B23" s="4"/>
    </row>
    <row r="24" spans="1:2" x14ac:dyDescent="0.25">
      <c r="A24" s="2"/>
      <c r="B24" s="4"/>
    </row>
    <row r="25" spans="1:2" x14ac:dyDescent="0.25">
      <c r="A25" s="2"/>
      <c r="B25" s="4"/>
    </row>
    <row r="26" spans="1:2" x14ac:dyDescent="0.25">
      <c r="A26" s="2"/>
      <c r="B26" s="4"/>
    </row>
    <row r="27" spans="1:2" x14ac:dyDescent="0.25">
      <c r="A27" s="2"/>
      <c r="B27" s="4"/>
    </row>
    <row r="28" spans="1:2" x14ac:dyDescent="0.25">
      <c r="A28" s="2"/>
      <c r="B28" s="4"/>
    </row>
    <row r="29" spans="1:2" x14ac:dyDescent="0.25">
      <c r="A29" s="2"/>
      <c r="B29" s="4"/>
    </row>
    <row r="30" spans="1:2" x14ac:dyDescent="0.25">
      <c r="A30" s="2"/>
      <c r="B30" s="4"/>
    </row>
    <row r="31" spans="1:2" x14ac:dyDescent="0.25">
      <c r="A31" s="2"/>
      <c r="B31" s="4"/>
    </row>
    <row r="32" spans="1:2" x14ac:dyDescent="0.25">
      <c r="A32" s="2"/>
      <c r="B32" s="4"/>
    </row>
    <row r="33" spans="1:2" x14ac:dyDescent="0.25">
      <c r="A33" s="2"/>
      <c r="B33" s="4"/>
    </row>
    <row r="34" spans="1:2" x14ac:dyDescent="0.25">
      <c r="A34" s="2"/>
      <c r="B34" s="4"/>
    </row>
    <row r="35" spans="1:2" x14ac:dyDescent="0.25">
      <c r="A35" s="2"/>
      <c r="B35" s="4"/>
    </row>
    <row r="36" spans="1:2" x14ac:dyDescent="0.25">
      <c r="A36" s="2"/>
      <c r="B36" s="4"/>
    </row>
    <row r="37" spans="1:2" x14ac:dyDescent="0.25">
      <c r="A37" s="2"/>
      <c r="B37" s="4"/>
    </row>
    <row r="38" spans="1:2" x14ac:dyDescent="0.25">
      <c r="A38" s="2"/>
      <c r="B38" s="4"/>
    </row>
    <row r="39" spans="1:2" x14ac:dyDescent="0.25">
      <c r="A39" s="2"/>
      <c r="B39" s="4"/>
    </row>
    <row r="40" spans="1:2" x14ac:dyDescent="0.25">
      <c r="A40" s="2"/>
      <c r="B40" s="4"/>
    </row>
    <row r="41" spans="1:2" x14ac:dyDescent="0.25">
      <c r="A41" s="2"/>
      <c r="B41" s="4"/>
    </row>
    <row r="42" spans="1:2" x14ac:dyDescent="0.25">
      <c r="A42" s="2"/>
      <c r="B42" s="4"/>
    </row>
    <row r="43" spans="1:2" x14ac:dyDescent="0.25">
      <c r="A43" s="2"/>
      <c r="B43" s="4"/>
    </row>
    <row r="44" spans="1:2" x14ac:dyDescent="0.25">
      <c r="A44" s="2"/>
      <c r="B44" s="4"/>
    </row>
    <row r="45" spans="1:2" x14ac:dyDescent="0.25">
      <c r="A45" s="2"/>
      <c r="B45" s="4"/>
    </row>
    <row r="46" spans="1:2" x14ac:dyDescent="0.25">
      <c r="A46" s="2"/>
      <c r="B46" s="4"/>
    </row>
    <row r="47" spans="1:2" x14ac:dyDescent="0.25">
      <c r="A47" s="2"/>
      <c r="B47" s="4"/>
    </row>
    <row r="48" spans="1:2" x14ac:dyDescent="0.25">
      <c r="A48" s="2"/>
      <c r="B48" s="4"/>
    </row>
    <row r="49" spans="1:2" x14ac:dyDescent="0.25">
      <c r="A49" s="2"/>
      <c r="B49" s="4"/>
    </row>
    <row r="50" spans="1:2" x14ac:dyDescent="0.25">
      <c r="A50" s="2"/>
      <c r="B50" s="4"/>
    </row>
    <row r="51" spans="1:2" x14ac:dyDescent="0.25">
      <c r="A51" s="2"/>
      <c r="B51" s="4"/>
    </row>
    <row r="52" spans="1:2" x14ac:dyDescent="0.25">
      <c r="A52" s="2"/>
      <c r="B52" s="4"/>
    </row>
    <row r="53" spans="1:2" x14ac:dyDescent="0.25">
      <c r="A53" s="2"/>
      <c r="B53" s="4"/>
    </row>
    <row r="54" spans="1:2" x14ac:dyDescent="0.25">
      <c r="A54" s="2"/>
      <c r="B54" s="4"/>
    </row>
    <row r="55" spans="1:2" x14ac:dyDescent="0.25">
      <c r="A55" s="2"/>
      <c r="B55" s="4"/>
    </row>
    <row r="56" spans="1:2" x14ac:dyDescent="0.25">
      <c r="A56" s="2"/>
      <c r="B56" s="4"/>
    </row>
    <row r="57" spans="1:2" x14ac:dyDescent="0.25">
      <c r="A57" s="2"/>
      <c r="B57" s="4"/>
    </row>
    <row r="58" spans="1:2" x14ac:dyDescent="0.25">
      <c r="A58" s="2"/>
      <c r="B58" s="4"/>
    </row>
    <row r="59" spans="1:2" x14ac:dyDescent="0.25">
      <c r="A59" s="2"/>
      <c r="B59" s="4"/>
    </row>
    <row r="60" spans="1:2" x14ac:dyDescent="0.25">
      <c r="A60" s="2"/>
      <c r="B60" s="4"/>
    </row>
    <row r="61" spans="1:2" x14ac:dyDescent="0.25">
      <c r="A61" s="2"/>
      <c r="B61" s="4"/>
    </row>
    <row r="62" spans="1:2" x14ac:dyDescent="0.25">
      <c r="A62" s="2"/>
      <c r="B62" s="4"/>
    </row>
    <row r="63" spans="1:2" x14ac:dyDescent="0.25">
      <c r="A63" s="2"/>
      <c r="B63" s="4"/>
    </row>
    <row r="64" spans="1:2" x14ac:dyDescent="0.25">
      <c r="A64" s="2"/>
      <c r="B64" s="4"/>
    </row>
    <row r="65" spans="1:2" x14ac:dyDescent="0.25">
      <c r="A65" s="2"/>
      <c r="B65" s="4"/>
    </row>
    <row r="66" spans="1:2" x14ac:dyDescent="0.25">
      <c r="A66" s="2"/>
      <c r="B66" s="4"/>
    </row>
    <row r="67" spans="1:2" x14ac:dyDescent="0.25">
      <c r="A67" s="2"/>
      <c r="B67" s="4"/>
    </row>
    <row r="68" spans="1:2" x14ac:dyDescent="0.25">
      <c r="A68" s="2"/>
      <c r="B68" s="4"/>
    </row>
    <row r="69" spans="1:2" x14ac:dyDescent="0.25">
      <c r="A69" s="2"/>
      <c r="B69" s="4"/>
    </row>
    <row r="70" spans="1:2" x14ac:dyDescent="0.25">
      <c r="A70" s="2"/>
      <c r="B70" s="4"/>
    </row>
    <row r="71" spans="1:2" x14ac:dyDescent="0.25">
      <c r="A71" s="2"/>
      <c r="B71" s="4"/>
    </row>
    <row r="72" spans="1:2" x14ac:dyDescent="0.25">
      <c r="A72" s="2"/>
      <c r="B72" s="4"/>
    </row>
    <row r="73" spans="1:2" x14ac:dyDescent="0.25">
      <c r="A73" s="2"/>
      <c r="B73" s="4"/>
    </row>
    <row r="74" spans="1:2" x14ac:dyDescent="0.25">
      <c r="A74" s="2"/>
      <c r="B74" s="4"/>
    </row>
    <row r="75" spans="1:2" x14ac:dyDescent="0.25">
      <c r="A75" s="2"/>
      <c r="B75" s="4"/>
    </row>
    <row r="76" spans="1:2" x14ac:dyDescent="0.25">
      <c r="A76" s="2"/>
      <c r="B76" s="4"/>
    </row>
    <row r="77" spans="1:2" x14ac:dyDescent="0.25">
      <c r="A77" s="2"/>
      <c r="B77" s="4"/>
    </row>
    <row r="78" spans="1:2" x14ac:dyDescent="0.25">
      <c r="A78" s="2"/>
      <c r="B78" s="4"/>
    </row>
    <row r="79" spans="1:2" x14ac:dyDescent="0.25">
      <c r="A79" s="2"/>
      <c r="B79" s="4"/>
    </row>
    <row r="80" spans="1:2" x14ac:dyDescent="0.25">
      <c r="A80" s="2"/>
      <c r="B80" s="4"/>
    </row>
    <row r="81" spans="1:2" x14ac:dyDescent="0.25">
      <c r="A81" s="2"/>
      <c r="B81" s="4"/>
    </row>
    <row r="82" spans="1:2" x14ac:dyDescent="0.25">
      <c r="A82" s="2"/>
      <c r="B82" s="4"/>
    </row>
    <row r="83" spans="1:2" x14ac:dyDescent="0.25">
      <c r="A83" s="2"/>
      <c r="B83" s="4"/>
    </row>
    <row r="84" spans="1:2" x14ac:dyDescent="0.25">
      <c r="A84" s="2"/>
      <c r="B84" s="4"/>
    </row>
    <row r="85" spans="1:2" x14ac:dyDescent="0.25">
      <c r="A85" s="2"/>
      <c r="B85" s="4"/>
    </row>
    <row r="86" spans="1:2" x14ac:dyDescent="0.25">
      <c r="A86" s="2"/>
      <c r="B86" s="4"/>
    </row>
    <row r="87" spans="1:2" x14ac:dyDescent="0.25">
      <c r="A87" s="2"/>
      <c r="B87" s="4"/>
    </row>
    <row r="88" spans="1:2" x14ac:dyDescent="0.25">
      <c r="A88" s="2"/>
      <c r="B88" s="4"/>
    </row>
    <row r="89" spans="1:2" x14ac:dyDescent="0.25">
      <c r="A89" s="2"/>
      <c r="B89" s="4"/>
    </row>
    <row r="90" spans="1:2" x14ac:dyDescent="0.25">
      <c r="A90" s="2"/>
      <c r="B90" s="4"/>
    </row>
    <row r="91" spans="1:2" x14ac:dyDescent="0.25">
      <c r="A91" s="2"/>
      <c r="B91" s="4"/>
    </row>
    <row r="92" spans="1:2" x14ac:dyDescent="0.25">
      <c r="A92" s="2"/>
      <c r="B92" s="4"/>
    </row>
    <row r="93" spans="1:2" x14ac:dyDescent="0.25">
      <c r="A93" s="2"/>
      <c r="B93" s="4"/>
    </row>
    <row r="94" spans="1:2" x14ac:dyDescent="0.25">
      <c r="A94" s="2"/>
      <c r="B94" s="4"/>
    </row>
    <row r="95" spans="1:2" x14ac:dyDescent="0.25">
      <c r="A95" s="2"/>
      <c r="B95" s="4"/>
    </row>
    <row r="96" spans="1:2" x14ac:dyDescent="0.25">
      <c r="A96" s="2"/>
      <c r="B96" s="4"/>
    </row>
    <row r="97" spans="1:2" x14ac:dyDescent="0.25">
      <c r="A97" s="2"/>
      <c r="B97" s="4"/>
    </row>
    <row r="98" spans="1:2" x14ac:dyDescent="0.25">
      <c r="A98" s="2"/>
      <c r="B98" s="4"/>
    </row>
    <row r="99" spans="1:2" x14ac:dyDescent="0.25">
      <c r="A99" s="2"/>
      <c r="B99" s="4"/>
    </row>
    <row r="100" spans="1:2" x14ac:dyDescent="0.25">
      <c r="A100" s="2"/>
      <c r="B100" s="4"/>
    </row>
    <row r="101" spans="1:2" x14ac:dyDescent="0.25">
      <c r="A101" s="2"/>
      <c r="B101" s="4"/>
    </row>
    <row r="102" spans="1:2" x14ac:dyDescent="0.25">
      <c r="A102" s="2"/>
      <c r="B102" s="4"/>
    </row>
    <row r="103" spans="1:2" x14ac:dyDescent="0.25">
      <c r="A103" s="2"/>
      <c r="B103" s="4"/>
    </row>
    <row r="104" spans="1:2" x14ac:dyDescent="0.25">
      <c r="A104" s="2"/>
      <c r="B104" s="4"/>
    </row>
    <row r="105" spans="1:2" x14ac:dyDescent="0.25">
      <c r="A105" s="2"/>
      <c r="B105" s="4"/>
    </row>
    <row r="106" spans="1:2" x14ac:dyDescent="0.25">
      <c r="A106" s="2"/>
      <c r="B106" s="4"/>
    </row>
    <row r="107" spans="1:2" x14ac:dyDescent="0.25">
      <c r="A107" s="2"/>
      <c r="B107" s="4"/>
    </row>
    <row r="108" spans="1:2" x14ac:dyDescent="0.25">
      <c r="A108" s="2"/>
      <c r="B108" s="4"/>
    </row>
    <row r="109" spans="1:2" x14ac:dyDescent="0.25">
      <c r="A109" s="2"/>
      <c r="B109" s="4"/>
    </row>
    <row r="110" spans="1:2" x14ac:dyDescent="0.25">
      <c r="A110" s="2"/>
      <c r="B110" s="4"/>
    </row>
    <row r="111" spans="1:2" x14ac:dyDescent="0.25">
      <c r="A111" s="2"/>
      <c r="B111" s="4"/>
    </row>
    <row r="112" spans="1:2" x14ac:dyDescent="0.25">
      <c r="A112" s="2"/>
      <c r="B112" s="4"/>
    </row>
    <row r="113" spans="1:2" x14ac:dyDescent="0.25">
      <c r="A113" s="2"/>
      <c r="B113" s="4"/>
    </row>
    <row r="114" spans="1:2" x14ac:dyDescent="0.25">
      <c r="A114" s="2"/>
      <c r="B114" s="4"/>
    </row>
    <row r="115" spans="1:2" x14ac:dyDescent="0.25">
      <c r="A115" s="2"/>
      <c r="B115" s="4"/>
    </row>
    <row r="116" spans="1:2" x14ac:dyDescent="0.25">
      <c r="A116" s="2"/>
      <c r="B116" s="4"/>
    </row>
    <row r="117" spans="1:2" x14ac:dyDescent="0.25">
      <c r="A117" s="2"/>
      <c r="B117" s="4"/>
    </row>
    <row r="118" spans="1:2" x14ac:dyDescent="0.25">
      <c r="A118" s="2"/>
      <c r="B118" s="4"/>
    </row>
    <row r="119" spans="1:2" x14ac:dyDescent="0.25">
      <c r="A119" s="2"/>
      <c r="B119" s="4"/>
    </row>
    <row r="120" spans="1:2" x14ac:dyDescent="0.25">
      <c r="A120" s="2"/>
      <c r="B120" s="4"/>
    </row>
    <row r="121" spans="1:2" x14ac:dyDescent="0.25">
      <c r="A121" s="2"/>
      <c r="B121" s="4"/>
    </row>
    <row r="122" spans="1:2" x14ac:dyDescent="0.25">
      <c r="A122" s="2"/>
      <c r="B122" s="4"/>
    </row>
    <row r="123" spans="1:2" x14ac:dyDescent="0.25">
      <c r="A123" s="2"/>
      <c r="B123" s="4"/>
    </row>
    <row r="124" spans="1:2" x14ac:dyDescent="0.25">
      <c r="A124" s="2"/>
      <c r="B124" s="4"/>
    </row>
    <row r="125" spans="1:2" x14ac:dyDescent="0.25">
      <c r="A125" s="2"/>
      <c r="B125" s="4"/>
    </row>
    <row r="126" spans="1:2" x14ac:dyDescent="0.25">
      <c r="A126" s="2"/>
      <c r="B126" s="4"/>
    </row>
    <row r="127" spans="1:2" x14ac:dyDescent="0.25">
      <c r="A127" s="2"/>
      <c r="B127" s="4"/>
    </row>
    <row r="128" spans="1:2" x14ac:dyDescent="0.25">
      <c r="A128" s="2"/>
      <c r="B128" s="4"/>
    </row>
    <row r="129" spans="1:2" x14ac:dyDescent="0.25">
      <c r="A129" s="2"/>
      <c r="B129" s="4"/>
    </row>
    <row r="130" spans="1:2" x14ac:dyDescent="0.25">
      <c r="A130" s="2"/>
      <c r="B130" s="4"/>
    </row>
    <row r="131" spans="1:2" x14ac:dyDescent="0.25">
      <c r="A131" s="2"/>
      <c r="B131" s="4"/>
    </row>
    <row r="132" spans="1:2" x14ac:dyDescent="0.25">
      <c r="A132" s="2"/>
      <c r="B132" s="4"/>
    </row>
    <row r="133" spans="1:2" x14ac:dyDescent="0.25">
      <c r="A133" s="2"/>
      <c r="B133" s="4"/>
    </row>
    <row r="134" spans="1:2" x14ac:dyDescent="0.25">
      <c r="A134" s="2"/>
      <c r="B134" s="4"/>
    </row>
    <row r="135" spans="1:2" x14ac:dyDescent="0.25">
      <c r="A135" s="2"/>
      <c r="B135" s="4"/>
    </row>
    <row r="136" spans="1:2" x14ac:dyDescent="0.25">
      <c r="A136" s="2"/>
      <c r="B136" s="4"/>
    </row>
    <row r="137" spans="1:2" x14ac:dyDescent="0.25">
      <c r="A137" s="2"/>
      <c r="B137" s="4"/>
    </row>
    <row r="138" spans="1:2" x14ac:dyDescent="0.25">
      <c r="A138" s="2"/>
      <c r="B138" s="4"/>
    </row>
    <row r="139" spans="1:2" x14ac:dyDescent="0.25">
      <c r="A139" s="2"/>
      <c r="B139" s="4"/>
    </row>
    <row r="140" spans="1:2" x14ac:dyDescent="0.25">
      <c r="A140" s="2"/>
      <c r="B140" s="4"/>
    </row>
    <row r="141" spans="1:2" x14ac:dyDescent="0.25">
      <c r="A141" s="2"/>
      <c r="B141" s="4"/>
    </row>
    <row r="142" spans="1:2" x14ac:dyDescent="0.25">
      <c r="A142" s="2"/>
      <c r="B142" s="4"/>
    </row>
    <row r="143" spans="1:2" x14ac:dyDescent="0.25">
      <c r="A143" s="2"/>
      <c r="B143" s="4"/>
    </row>
    <row r="144" spans="1:2" x14ac:dyDescent="0.25">
      <c r="A144" s="2"/>
      <c r="B144" s="4"/>
    </row>
    <row r="145" spans="1:2" x14ac:dyDescent="0.25">
      <c r="A145" s="2"/>
      <c r="B145" s="4"/>
    </row>
    <row r="146" spans="1:2" x14ac:dyDescent="0.25">
      <c r="A146" s="2"/>
      <c r="B146" s="4"/>
    </row>
    <row r="147" spans="1:2" x14ac:dyDescent="0.25">
      <c r="A147" s="2"/>
      <c r="B147" s="4"/>
    </row>
    <row r="148" spans="1:2" x14ac:dyDescent="0.25">
      <c r="A148" s="2"/>
      <c r="B148" s="4"/>
    </row>
    <row r="149" spans="1:2" x14ac:dyDescent="0.25">
      <c r="A149" s="2"/>
      <c r="B149" s="4"/>
    </row>
    <row r="150" spans="1:2" x14ac:dyDescent="0.25">
      <c r="A150" s="2"/>
      <c r="B150" s="4"/>
    </row>
    <row r="151" spans="1:2" x14ac:dyDescent="0.25">
      <c r="A151" s="2"/>
      <c r="B151" s="4"/>
    </row>
    <row r="152" spans="1:2" x14ac:dyDescent="0.25">
      <c r="A152" s="2"/>
      <c r="B152" s="4"/>
    </row>
    <row r="153" spans="1:2" x14ac:dyDescent="0.25">
      <c r="A153" s="2"/>
      <c r="B153" s="4"/>
    </row>
  </sheetData>
  <sheetProtection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63</vt:i4>
      </vt:variant>
    </vt:vector>
  </HeadingPairs>
  <TitlesOfParts>
    <vt:vector size="66" baseType="lpstr">
      <vt:lpstr>Non Human Comfort- Above Ground</vt:lpstr>
      <vt:lpstr>Fluids</vt:lpstr>
      <vt:lpstr>Calculations</vt:lpstr>
      <vt:lpstr>_20__LFL_x_RV</vt:lpstr>
      <vt:lpstr>aIII</vt:lpstr>
      <vt:lpstr>aIV</vt:lpstr>
      <vt:lpstr>aIVNS</vt:lpstr>
      <vt:lpstr>bIII</vt:lpstr>
      <vt:lpstr>bIV</vt:lpstr>
      <vt:lpstr>bIVNS</vt:lpstr>
      <vt:lpstr>cIII</vt:lpstr>
      <vt:lpstr>cIV</vt:lpstr>
      <vt:lpstr>cIVNS</vt:lpstr>
      <vt:lpstr>LFL</vt:lpstr>
      <vt:lpstr>LOcIC1</vt:lpstr>
      <vt:lpstr>LOcIC1NS</vt:lpstr>
      <vt:lpstr>LOcIIC1</vt:lpstr>
      <vt:lpstr>LOcIIC1NS</vt:lpstr>
      <vt:lpstr>LOcIQLAV</vt:lpstr>
      <vt:lpstr>LOcIQLAVNS</vt:lpstr>
      <vt:lpstr>LOcIQLMV</vt:lpstr>
      <vt:lpstr>LOcIQLMVNS</vt:lpstr>
      <vt:lpstr>m1_</vt:lpstr>
      <vt:lpstr>m2a</vt:lpstr>
      <vt:lpstr>m3b</vt:lpstr>
      <vt:lpstr>OAaIC1</vt:lpstr>
      <vt:lpstr>OAaIC1NS</vt:lpstr>
      <vt:lpstr>OAaIIC1</vt:lpstr>
      <vt:lpstr>OAaIIC1NS</vt:lpstr>
      <vt:lpstr>OAaIIQLAV</vt:lpstr>
      <vt:lpstr>OAaIIQLAVNS</vt:lpstr>
      <vt:lpstr>OAaIIQLMV</vt:lpstr>
      <vt:lpstr>OAaIIQLMVNS</vt:lpstr>
      <vt:lpstr>OAaIQLAV</vt:lpstr>
      <vt:lpstr>OAaIQLAVNS</vt:lpstr>
      <vt:lpstr>OAaIQLMV</vt:lpstr>
      <vt:lpstr>OAaIQLMVNS</vt:lpstr>
      <vt:lpstr>OAbIC1</vt:lpstr>
      <vt:lpstr>OAbIC1NS</vt:lpstr>
      <vt:lpstr>OAbIIC1</vt:lpstr>
      <vt:lpstr>OAbIIC1NS</vt:lpstr>
      <vt:lpstr>OAbIIQLAV</vt:lpstr>
      <vt:lpstr>OAbIIQLAVNS</vt:lpstr>
      <vt:lpstr>OAbIIQLMV</vt:lpstr>
      <vt:lpstr>OAbIIQLMVNS</vt:lpstr>
      <vt:lpstr>OAbIQLAV</vt:lpstr>
      <vt:lpstr>OAbIQLAVNS</vt:lpstr>
      <vt:lpstr>OAbIQLMV</vt:lpstr>
      <vt:lpstr>OAbIQLMVNS</vt:lpstr>
      <vt:lpstr>OAcIC1</vt:lpstr>
      <vt:lpstr>OAcIC1NS</vt:lpstr>
      <vt:lpstr>OAcIIC1</vt:lpstr>
      <vt:lpstr>OAcIIC1NS</vt:lpstr>
      <vt:lpstr>OAcIIQLAV</vt:lpstr>
      <vt:lpstr>OAcIIQLAVNS</vt:lpstr>
      <vt:lpstr>OAcIIQLMV</vt:lpstr>
      <vt:lpstr>OAcIIQLMVNS</vt:lpstr>
      <vt:lpstr>OAcIQLAV</vt:lpstr>
      <vt:lpstr>OAcIQLAVNS</vt:lpstr>
      <vt:lpstr>OAcIQLMV</vt:lpstr>
      <vt:lpstr>OAcIQLMVNS</vt:lpstr>
      <vt:lpstr>'Non Human Comfort- Above Ground'!Print_Area</vt:lpstr>
      <vt:lpstr>QL_Calc_Room_Size</vt:lpstr>
      <vt:lpstr>QLAV</vt:lpstr>
      <vt:lpstr>QLMV</vt:lpstr>
      <vt:lpstr>Room_Volume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DIETL, NICOLAS</dc:creator>
  <cp:lastModifiedBy>Roberts, Neil A</cp:lastModifiedBy>
  <cp:lastPrinted>2017-07-25T09:18:15Z</cp:lastPrinted>
  <dcterms:created xsi:type="dcterms:W3CDTF">2015-10-14T09:58:06Z</dcterms:created>
  <dcterms:modified xsi:type="dcterms:W3CDTF">2018-06-04T14:50:32Z</dcterms:modified>
</cp:coreProperties>
</file>